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 tabRatio="846"/>
  </bookViews>
  <sheets>
    <sheet name="Расх по ЕАО с 01.01.15" sheetId="8" r:id="rId1"/>
    <sheet name="Расх по МО с 01.07.13" sheetId="4" state="hidden" r:id="rId2"/>
    <sheet name="Расх по ЕАО с 01.07.13" sheetId="7" state="hidden" r:id="rId3"/>
    <sheet name="дополн сумма к расх с 01.07.13" sheetId="5" state="hidden" r:id="rId4"/>
    <sheet name="Октябрьск передвижки" sheetId="3" state="hidden" r:id="rId5"/>
  </sheets>
  <externalReferences>
    <externalReference r:id="rId6"/>
  </externalReferences>
  <calcPr calcId="144525"/>
</workbook>
</file>

<file path=xl/calcChain.xml><?xml version="1.0" encoding="utf-8"?>
<calcChain xmlns="http://schemas.openxmlformats.org/spreadsheetml/2006/main">
  <c r="D357" i="7" l="1"/>
  <c r="E357" i="7"/>
  <c r="F357" i="7"/>
  <c r="H357" i="7"/>
  <c r="I357" i="7"/>
  <c r="J357" i="7"/>
  <c r="L357" i="7"/>
  <c r="M357" i="7"/>
  <c r="N357" i="7"/>
  <c r="C357" i="7"/>
  <c r="D259" i="7"/>
  <c r="E259" i="7"/>
  <c r="F259" i="7"/>
  <c r="H259" i="7"/>
  <c r="I259" i="7"/>
  <c r="J259" i="7"/>
  <c r="L259" i="7"/>
  <c r="M259" i="7"/>
  <c r="N259" i="7"/>
  <c r="C259" i="7"/>
  <c r="D234" i="7"/>
  <c r="E234" i="7"/>
  <c r="F234" i="7"/>
  <c r="H234" i="7"/>
  <c r="I234" i="7"/>
  <c r="J234" i="7"/>
  <c r="L234" i="7"/>
  <c r="M234" i="7"/>
  <c r="N234" i="7"/>
  <c r="C234" i="7"/>
  <c r="D210" i="7"/>
  <c r="E210" i="7"/>
  <c r="F210" i="7"/>
  <c r="H210" i="7"/>
  <c r="I210" i="7"/>
  <c r="J210" i="7"/>
  <c r="L210" i="7"/>
  <c r="M210" i="7"/>
  <c r="N210" i="7"/>
  <c r="C210" i="7"/>
  <c r="G210" i="4"/>
  <c r="G210" i="7" s="1"/>
  <c r="N357" i="3"/>
  <c r="M357" i="3"/>
  <c r="L357" i="3"/>
  <c r="J357" i="3"/>
  <c r="I357" i="3"/>
  <c r="H357" i="3"/>
  <c r="F357" i="3"/>
  <c r="E357" i="3"/>
  <c r="D357" i="3"/>
  <c r="N259" i="3"/>
  <c r="M259" i="3"/>
  <c r="L259" i="3"/>
  <c r="J259" i="3"/>
  <c r="I259" i="3"/>
  <c r="H259" i="3"/>
  <c r="F259" i="3"/>
  <c r="E259" i="3"/>
  <c r="D259" i="3"/>
  <c r="N234" i="3"/>
  <c r="M234" i="3"/>
  <c r="L234" i="3"/>
  <c r="J234" i="3"/>
  <c r="I234" i="3"/>
  <c r="H234" i="3"/>
  <c r="F234" i="3"/>
  <c r="E234" i="3"/>
  <c r="D234" i="3"/>
  <c r="N210" i="3"/>
  <c r="J210" i="3"/>
  <c r="F210" i="3"/>
  <c r="M210" i="3"/>
  <c r="I210" i="3"/>
  <c r="E210" i="3"/>
  <c r="L210" i="3"/>
  <c r="H210" i="3"/>
  <c r="D210" i="3"/>
  <c r="H496" i="3"/>
  <c r="I496" i="3" s="1"/>
  <c r="H495" i="3"/>
  <c r="I495" i="3" s="1"/>
  <c r="H494" i="3"/>
  <c r="I494" i="3" s="1"/>
  <c r="H490" i="3"/>
  <c r="I490" i="3" s="1"/>
  <c r="H489" i="3"/>
  <c r="I489" i="3" s="1"/>
  <c r="H488" i="3"/>
  <c r="I488" i="3" s="1"/>
  <c r="H483" i="3"/>
  <c r="I483" i="3" s="1"/>
  <c r="H484" i="3"/>
  <c r="I484" i="3" s="1"/>
  <c r="H482" i="3"/>
  <c r="I482" i="3" s="1"/>
  <c r="E500" i="3"/>
  <c r="F500" i="3"/>
  <c r="G500" i="3"/>
  <c r="H500" i="3" s="1"/>
  <c r="E501" i="3"/>
  <c r="F501" i="3"/>
  <c r="G501" i="3"/>
  <c r="H501" i="3" s="1"/>
  <c r="E499" i="3"/>
  <c r="F499" i="3"/>
  <c r="G499" i="3"/>
  <c r="H499" i="3" s="1"/>
  <c r="D499" i="3"/>
  <c r="D500" i="3"/>
  <c r="G210" i="3"/>
  <c r="C485" i="3"/>
  <c r="D497" i="3"/>
  <c r="D491" i="3"/>
  <c r="D501" i="3"/>
  <c r="C475" i="3"/>
  <c r="C357" i="3"/>
  <c r="C259" i="3"/>
  <c r="C234" i="3"/>
  <c r="C210" i="3"/>
  <c r="N413" i="3"/>
  <c r="L413" i="3"/>
  <c r="J413" i="3"/>
  <c r="H413" i="3"/>
  <c r="F413" i="3"/>
  <c r="D413" i="3"/>
  <c r="N412" i="3"/>
  <c r="L412" i="3"/>
  <c r="J412" i="3"/>
  <c r="H412" i="3"/>
  <c r="F412" i="3"/>
  <c r="D412" i="3"/>
  <c r="N411" i="3"/>
  <c r="J411" i="3"/>
  <c r="F411" i="3"/>
  <c r="N410" i="3"/>
  <c r="J410" i="3"/>
  <c r="F410" i="3"/>
  <c r="N405" i="3"/>
  <c r="M405" i="3"/>
  <c r="L405" i="3"/>
  <c r="O405" i="3" s="1"/>
  <c r="J405" i="3"/>
  <c r="I405" i="3"/>
  <c r="H405" i="3"/>
  <c r="K405" i="3" s="1"/>
  <c r="F405" i="3"/>
  <c r="E405" i="3"/>
  <c r="D405" i="3"/>
  <c r="G405" i="3" s="1"/>
  <c r="R405" i="3" s="1"/>
  <c r="C405" i="3"/>
  <c r="N404" i="3"/>
  <c r="M404" i="3"/>
  <c r="L404" i="3"/>
  <c r="O404" i="3" s="1"/>
  <c r="J404" i="3"/>
  <c r="I404" i="3"/>
  <c r="H404" i="3"/>
  <c r="K404" i="3" s="1"/>
  <c r="F404" i="3"/>
  <c r="E404" i="3"/>
  <c r="D404" i="3"/>
  <c r="G404" i="3" s="1"/>
  <c r="R404" i="3" s="1"/>
  <c r="C404" i="3"/>
  <c r="N401" i="3"/>
  <c r="M401" i="3"/>
  <c r="L401" i="3"/>
  <c r="O401" i="3" s="1"/>
  <c r="J401" i="3"/>
  <c r="I401" i="3"/>
  <c r="H401" i="3"/>
  <c r="K401" i="3" s="1"/>
  <c r="F401" i="3"/>
  <c r="E401" i="3"/>
  <c r="D401" i="3"/>
  <c r="G401" i="3" s="1"/>
  <c r="R401" i="3" s="1"/>
  <c r="C401" i="3"/>
  <c r="N399" i="3"/>
  <c r="M399" i="3"/>
  <c r="L399" i="3"/>
  <c r="O399" i="3" s="1"/>
  <c r="J399" i="3"/>
  <c r="I399" i="3"/>
  <c r="H399" i="3"/>
  <c r="K399" i="3" s="1"/>
  <c r="F399" i="3"/>
  <c r="E399" i="3"/>
  <c r="D399" i="3"/>
  <c r="G399" i="3" s="1"/>
  <c r="R399" i="3" s="1"/>
  <c r="C399" i="3"/>
  <c r="N398" i="3"/>
  <c r="L398" i="3"/>
  <c r="J398" i="3"/>
  <c r="H398" i="3"/>
  <c r="F398" i="3"/>
  <c r="D398" i="3"/>
  <c r="N397" i="3"/>
  <c r="M397" i="3"/>
  <c r="L397" i="3"/>
  <c r="O397" i="3" s="1"/>
  <c r="J397" i="3"/>
  <c r="I397" i="3"/>
  <c r="H397" i="3"/>
  <c r="K397" i="3" s="1"/>
  <c r="F397" i="3"/>
  <c r="E397" i="3"/>
  <c r="D397" i="3"/>
  <c r="G397" i="3" s="1"/>
  <c r="R397" i="3" s="1"/>
  <c r="C397" i="3"/>
  <c r="N396" i="3"/>
  <c r="J396" i="3"/>
  <c r="F396" i="3"/>
  <c r="N388" i="3"/>
  <c r="M388" i="3"/>
  <c r="L388" i="3"/>
  <c r="O388" i="3" s="1"/>
  <c r="J388" i="3"/>
  <c r="I388" i="3"/>
  <c r="H388" i="3"/>
  <c r="K388" i="3" s="1"/>
  <c r="F388" i="3"/>
  <c r="E388" i="3"/>
  <c r="D388" i="3"/>
  <c r="N387" i="3"/>
  <c r="M387" i="3"/>
  <c r="L387" i="3"/>
  <c r="O387" i="3" s="1"/>
  <c r="J387" i="3"/>
  <c r="I387" i="3"/>
  <c r="H387" i="3"/>
  <c r="K387" i="3" s="1"/>
  <c r="F387" i="3"/>
  <c r="E387" i="3"/>
  <c r="D387" i="3"/>
  <c r="C387" i="3"/>
  <c r="N386" i="3"/>
  <c r="M386" i="3"/>
  <c r="L386" i="3"/>
  <c r="O386" i="3" s="1"/>
  <c r="J386" i="3"/>
  <c r="I386" i="3"/>
  <c r="H386" i="3"/>
  <c r="K386" i="3" s="1"/>
  <c r="F386" i="3"/>
  <c r="E386" i="3"/>
  <c r="D386" i="3"/>
  <c r="C386" i="3"/>
  <c r="N385" i="3"/>
  <c r="M385" i="3"/>
  <c r="L385" i="3"/>
  <c r="O385" i="3" s="1"/>
  <c r="J385" i="3"/>
  <c r="I385" i="3"/>
  <c r="H385" i="3"/>
  <c r="K385" i="3" s="1"/>
  <c r="F385" i="3"/>
  <c r="E385" i="3"/>
  <c r="D385" i="3"/>
  <c r="C385" i="3"/>
  <c r="N380" i="3"/>
  <c r="M380" i="3"/>
  <c r="L380" i="3"/>
  <c r="O380" i="3" s="1"/>
  <c r="J380" i="3"/>
  <c r="I380" i="3"/>
  <c r="H380" i="3"/>
  <c r="K380" i="3" s="1"/>
  <c r="F380" i="3"/>
  <c r="E380" i="3"/>
  <c r="D380" i="3"/>
  <c r="C380" i="3"/>
  <c r="N379" i="3"/>
  <c r="M379" i="3"/>
  <c r="L379" i="3"/>
  <c r="O379" i="3" s="1"/>
  <c r="J379" i="3"/>
  <c r="I379" i="3"/>
  <c r="H379" i="3"/>
  <c r="K379" i="3" s="1"/>
  <c r="F379" i="3"/>
  <c r="E379" i="3"/>
  <c r="D379" i="3"/>
  <c r="C379" i="3"/>
  <c r="N376" i="3"/>
  <c r="M376" i="3"/>
  <c r="L376" i="3"/>
  <c r="O376" i="3" s="1"/>
  <c r="J376" i="3"/>
  <c r="I376" i="3"/>
  <c r="H376" i="3"/>
  <c r="K376" i="3" s="1"/>
  <c r="F376" i="3"/>
  <c r="E376" i="3"/>
  <c r="D376" i="3"/>
  <c r="C376" i="3"/>
  <c r="N374" i="3"/>
  <c r="M374" i="3"/>
  <c r="L374" i="3"/>
  <c r="O374" i="3" s="1"/>
  <c r="J374" i="3"/>
  <c r="I374" i="3"/>
  <c r="H374" i="3"/>
  <c r="K374" i="3" s="1"/>
  <c r="F374" i="3"/>
  <c r="E374" i="3"/>
  <c r="D374" i="3"/>
  <c r="C374" i="3"/>
  <c r="N373" i="3"/>
  <c r="L373" i="3"/>
  <c r="J373" i="3"/>
  <c r="H373" i="3"/>
  <c r="F373" i="3"/>
  <c r="D373" i="3"/>
  <c r="N372" i="3"/>
  <c r="M372" i="3"/>
  <c r="L372" i="3"/>
  <c r="O372" i="3" s="1"/>
  <c r="J372" i="3"/>
  <c r="I372" i="3"/>
  <c r="H372" i="3"/>
  <c r="K372" i="3" s="1"/>
  <c r="F372" i="3"/>
  <c r="E372" i="3"/>
  <c r="D372" i="3"/>
  <c r="C372" i="3"/>
  <c r="N371" i="3"/>
  <c r="J371" i="3"/>
  <c r="F371" i="3"/>
  <c r="O364" i="3"/>
  <c r="K364" i="3"/>
  <c r="G364" i="3"/>
  <c r="R364" i="3" s="1"/>
  <c r="C364" i="3"/>
  <c r="O363" i="3"/>
  <c r="K363" i="3"/>
  <c r="G363" i="3"/>
  <c r="R363" i="3" s="1"/>
  <c r="O362" i="3"/>
  <c r="K362" i="3"/>
  <c r="G362" i="3"/>
  <c r="R362" i="3" s="1"/>
  <c r="O361" i="3"/>
  <c r="K361" i="3"/>
  <c r="G361" i="3"/>
  <c r="R361" i="3" s="1"/>
  <c r="N360" i="3"/>
  <c r="M360" i="3"/>
  <c r="L360" i="3"/>
  <c r="O360" i="3" s="1"/>
  <c r="J360" i="3"/>
  <c r="I360" i="3"/>
  <c r="H360" i="3"/>
  <c r="K360" i="3" s="1"/>
  <c r="F360" i="3"/>
  <c r="E360" i="3"/>
  <c r="D360" i="3"/>
  <c r="C360" i="3"/>
  <c r="N359" i="3"/>
  <c r="M359" i="3"/>
  <c r="L359" i="3"/>
  <c r="O359" i="3" s="1"/>
  <c r="J359" i="3"/>
  <c r="I359" i="3"/>
  <c r="H359" i="3"/>
  <c r="K359" i="3" s="1"/>
  <c r="F359" i="3"/>
  <c r="E359" i="3"/>
  <c r="D359" i="3"/>
  <c r="C359" i="3"/>
  <c r="N358" i="3"/>
  <c r="M358" i="3"/>
  <c r="L358" i="3"/>
  <c r="O358" i="3" s="1"/>
  <c r="J358" i="3"/>
  <c r="I358" i="3"/>
  <c r="H358" i="3"/>
  <c r="K358" i="3" s="1"/>
  <c r="F358" i="3"/>
  <c r="E358" i="3"/>
  <c r="D358" i="3"/>
  <c r="C358" i="3"/>
  <c r="O357" i="3"/>
  <c r="K357" i="3"/>
  <c r="O356" i="3"/>
  <c r="K356" i="3"/>
  <c r="G356" i="3"/>
  <c r="R356" i="3" s="1"/>
  <c r="O355" i="3"/>
  <c r="K355" i="3"/>
  <c r="G355" i="3"/>
  <c r="R355" i="3" s="1"/>
  <c r="N354" i="3"/>
  <c r="M354" i="3"/>
  <c r="L354" i="3"/>
  <c r="O354" i="3" s="1"/>
  <c r="J354" i="3"/>
  <c r="I354" i="3"/>
  <c r="H354" i="3"/>
  <c r="K354" i="3" s="1"/>
  <c r="F354" i="3"/>
  <c r="E354" i="3"/>
  <c r="D354" i="3"/>
  <c r="C354" i="3"/>
  <c r="N353" i="3"/>
  <c r="M353" i="3"/>
  <c r="L353" i="3"/>
  <c r="O353" i="3" s="1"/>
  <c r="J353" i="3"/>
  <c r="I353" i="3"/>
  <c r="H353" i="3"/>
  <c r="K353" i="3" s="1"/>
  <c r="F353" i="3"/>
  <c r="E353" i="3"/>
  <c r="D353" i="3"/>
  <c r="C353" i="3"/>
  <c r="O352" i="3"/>
  <c r="K352" i="3"/>
  <c r="G352" i="3"/>
  <c r="R352" i="3" s="1"/>
  <c r="N351" i="3"/>
  <c r="N365" i="3" s="1"/>
  <c r="M351" i="3"/>
  <c r="L351" i="3"/>
  <c r="O351" i="3" s="1"/>
  <c r="J351" i="3"/>
  <c r="J365" i="3" s="1"/>
  <c r="I351" i="3"/>
  <c r="H351" i="3"/>
  <c r="K351" i="3" s="1"/>
  <c r="F351" i="3"/>
  <c r="F365" i="3" s="1"/>
  <c r="E351" i="3"/>
  <c r="D351" i="3"/>
  <c r="C351" i="3"/>
  <c r="O350" i="3"/>
  <c r="K350" i="3"/>
  <c r="G350" i="3"/>
  <c r="R350" i="3" s="1"/>
  <c r="M349" i="3"/>
  <c r="O349" i="3" s="1"/>
  <c r="I349" i="3"/>
  <c r="K349" i="3" s="1"/>
  <c r="E349" i="3"/>
  <c r="C349" i="3"/>
  <c r="O348" i="3"/>
  <c r="K348" i="3"/>
  <c r="G348" i="3"/>
  <c r="R348" i="3" s="1"/>
  <c r="M347" i="3"/>
  <c r="M365" i="3" s="1"/>
  <c r="L347" i="3"/>
  <c r="L365" i="3" s="1"/>
  <c r="I347" i="3"/>
  <c r="I365" i="3" s="1"/>
  <c r="H347" i="3"/>
  <c r="H365" i="3" s="1"/>
  <c r="E347" i="3"/>
  <c r="E365" i="3" s="1"/>
  <c r="D347" i="3"/>
  <c r="D365" i="3" s="1"/>
  <c r="C347" i="3"/>
  <c r="C365" i="3" s="1"/>
  <c r="O339" i="3"/>
  <c r="K339" i="3"/>
  <c r="G339" i="3"/>
  <c r="R339" i="3" s="1"/>
  <c r="C339" i="3"/>
  <c r="O338" i="3"/>
  <c r="K338" i="3"/>
  <c r="G338" i="3"/>
  <c r="R338" i="3" s="1"/>
  <c r="O337" i="3"/>
  <c r="K337" i="3"/>
  <c r="G337" i="3"/>
  <c r="R337" i="3" s="1"/>
  <c r="O336" i="3"/>
  <c r="K336" i="3"/>
  <c r="G336" i="3"/>
  <c r="R336" i="3" s="1"/>
  <c r="N335" i="3"/>
  <c r="M335" i="3"/>
  <c r="L335" i="3"/>
  <c r="O335" i="3" s="1"/>
  <c r="J335" i="3"/>
  <c r="I335" i="3"/>
  <c r="H335" i="3"/>
  <c r="K335" i="3" s="1"/>
  <c r="F335" i="3"/>
  <c r="E335" i="3"/>
  <c r="D335" i="3"/>
  <c r="C335" i="3"/>
  <c r="N334" i="3"/>
  <c r="M334" i="3"/>
  <c r="L334" i="3"/>
  <c r="O334" i="3" s="1"/>
  <c r="J334" i="3"/>
  <c r="I334" i="3"/>
  <c r="H334" i="3"/>
  <c r="K334" i="3" s="1"/>
  <c r="F334" i="3"/>
  <c r="E334" i="3"/>
  <c r="D334" i="3"/>
  <c r="C334" i="3"/>
  <c r="N333" i="3"/>
  <c r="M333" i="3"/>
  <c r="L333" i="3"/>
  <c r="O333" i="3" s="1"/>
  <c r="J333" i="3"/>
  <c r="I333" i="3"/>
  <c r="H333" i="3"/>
  <c r="K333" i="3" s="1"/>
  <c r="F333" i="3"/>
  <c r="E333" i="3"/>
  <c r="D333" i="3"/>
  <c r="C333" i="3"/>
  <c r="N332" i="3"/>
  <c r="M332" i="3"/>
  <c r="L332" i="3"/>
  <c r="O332" i="3" s="1"/>
  <c r="J332" i="3"/>
  <c r="I332" i="3"/>
  <c r="H332" i="3"/>
  <c r="K332" i="3" s="1"/>
  <c r="F332" i="3"/>
  <c r="E332" i="3"/>
  <c r="D332" i="3"/>
  <c r="C332" i="3"/>
  <c r="O331" i="3"/>
  <c r="K331" i="3"/>
  <c r="G331" i="3"/>
  <c r="R331" i="3" s="1"/>
  <c r="O330" i="3"/>
  <c r="K330" i="3"/>
  <c r="G330" i="3"/>
  <c r="R330" i="3" s="1"/>
  <c r="N329" i="3"/>
  <c r="M329" i="3"/>
  <c r="L329" i="3"/>
  <c r="O329" i="3" s="1"/>
  <c r="J329" i="3"/>
  <c r="I329" i="3"/>
  <c r="H329" i="3"/>
  <c r="K329" i="3" s="1"/>
  <c r="F329" i="3"/>
  <c r="E329" i="3"/>
  <c r="D329" i="3"/>
  <c r="C329" i="3"/>
  <c r="N328" i="3"/>
  <c r="M328" i="3"/>
  <c r="L328" i="3"/>
  <c r="O328" i="3" s="1"/>
  <c r="J328" i="3"/>
  <c r="I328" i="3"/>
  <c r="H328" i="3"/>
  <c r="K328" i="3" s="1"/>
  <c r="F328" i="3"/>
  <c r="E328" i="3"/>
  <c r="D328" i="3"/>
  <c r="C328" i="3"/>
  <c r="O327" i="3"/>
  <c r="K327" i="3"/>
  <c r="G327" i="3"/>
  <c r="R327" i="3" s="1"/>
  <c r="N326" i="3"/>
  <c r="N340" i="3" s="1"/>
  <c r="M326" i="3"/>
  <c r="L326" i="3"/>
  <c r="O326" i="3" s="1"/>
  <c r="J326" i="3"/>
  <c r="J340" i="3" s="1"/>
  <c r="I326" i="3"/>
  <c r="H326" i="3"/>
  <c r="K326" i="3" s="1"/>
  <c r="F326" i="3"/>
  <c r="F340" i="3" s="1"/>
  <c r="E326" i="3"/>
  <c r="D326" i="3"/>
  <c r="C326" i="3"/>
  <c r="O325" i="3"/>
  <c r="K325" i="3"/>
  <c r="G325" i="3"/>
  <c r="R325" i="3" s="1"/>
  <c r="M324" i="3"/>
  <c r="M413" i="3" s="1"/>
  <c r="I324" i="3"/>
  <c r="I413" i="3" s="1"/>
  <c r="E324" i="3"/>
  <c r="E413" i="3" s="1"/>
  <c r="C324" i="3"/>
  <c r="C413" i="3" s="1"/>
  <c r="O323" i="3"/>
  <c r="K323" i="3"/>
  <c r="G323" i="3"/>
  <c r="R323" i="3" s="1"/>
  <c r="M322" i="3"/>
  <c r="L322" i="3"/>
  <c r="I322" i="3"/>
  <c r="H322" i="3"/>
  <c r="E322" i="3"/>
  <c r="D322" i="3"/>
  <c r="C322" i="3"/>
  <c r="O315" i="3"/>
  <c r="K315" i="3"/>
  <c r="G315" i="3"/>
  <c r="R315" i="3" s="1"/>
  <c r="C315" i="3"/>
  <c r="C388" i="3" s="1"/>
  <c r="O314" i="3"/>
  <c r="K314" i="3"/>
  <c r="G314" i="3"/>
  <c r="R314" i="3" s="1"/>
  <c r="O313" i="3"/>
  <c r="K313" i="3"/>
  <c r="G313" i="3"/>
  <c r="R313" i="3" s="1"/>
  <c r="O312" i="3"/>
  <c r="K312" i="3"/>
  <c r="G312" i="3"/>
  <c r="R312" i="3" s="1"/>
  <c r="N311" i="3"/>
  <c r="N384" i="3" s="1"/>
  <c r="M311" i="3"/>
  <c r="M384" i="3" s="1"/>
  <c r="L311" i="3"/>
  <c r="L384" i="3" s="1"/>
  <c r="O384" i="3" s="1"/>
  <c r="J311" i="3"/>
  <c r="J384" i="3" s="1"/>
  <c r="I311" i="3"/>
  <c r="I384" i="3" s="1"/>
  <c r="H311" i="3"/>
  <c r="H384" i="3" s="1"/>
  <c r="K384" i="3" s="1"/>
  <c r="F311" i="3"/>
  <c r="F384" i="3" s="1"/>
  <c r="E311" i="3"/>
  <c r="E384" i="3" s="1"/>
  <c r="D311" i="3"/>
  <c r="D384" i="3" s="1"/>
  <c r="C311" i="3"/>
  <c r="C384" i="3" s="1"/>
  <c r="N310" i="3"/>
  <c r="N383" i="3" s="1"/>
  <c r="M310" i="3"/>
  <c r="M383" i="3" s="1"/>
  <c r="L310" i="3"/>
  <c r="L383" i="3" s="1"/>
  <c r="O383" i="3" s="1"/>
  <c r="J310" i="3"/>
  <c r="J383" i="3" s="1"/>
  <c r="I310" i="3"/>
  <c r="I383" i="3" s="1"/>
  <c r="H310" i="3"/>
  <c r="H383" i="3" s="1"/>
  <c r="K383" i="3" s="1"/>
  <c r="F310" i="3"/>
  <c r="F383" i="3" s="1"/>
  <c r="E310" i="3"/>
  <c r="E383" i="3" s="1"/>
  <c r="D310" i="3"/>
  <c r="D383" i="3" s="1"/>
  <c r="C310" i="3"/>
  <c r="C383" i="3" s="1"/>
  <c r="N309" i="3"/>
  <c r="N382" i="3" s="1"/>
  <c r="M309" i="3"/>
  <c r="M382" i="3" s="1"/>
  <c r="L309" i="3"/>
  <c r="L382" i="3" s="1"/>
  <c r="O382" i="3" s="1"/>
  <c r="J309" i="3"/>
  <c r="J382" i="3" s="1"/>
  <c r="I309" i="3"/>
  <c r="I382" i="3" s="1"/>
  <c r="H309" i="3"/>
  <c r="H382" i="3" s="1"/>
  <c r="K382" i="3" s="1"/>
  <c r="F309" i="3"/>
  <c r="F382" i="3" s="1"/>
  <c r="E309" i="3"/>
  <c r="E382" i="3" s="1"/>
  <c r="D309" i="3"/>
  <c r="D382" i="3" s="1"/>
  <c r="C309" i="3"/>
  <c r="C382" i="3" s="1"/>
  <c r="N308" i="3"/>
  <c r="N381" i="3" s="1"/>
  <c r="M308" i="3"/>
  <c r="M381" i="3" s="1"/>
  <c r="L308" i="3"/>
  <c r="L381" i="3" s="1"/>
  <c r="O381" i="3" s="1"/>
  <c r="J308" i="3"/>
  <c r="J381" i="3" s="1"/>
  <c r="I308" i="3"/>
  <c r="I381" i="3" s="1"/>
  <c r="H308" i="3"/>
  <c r="H381" i="3" s="1"/>
  <c r="K381" i="3" s="1"/>
  <c r="F308" i="3"/>
  <c r="F381" i="3" s="1"/>
  <c r="E308" i="3"/>
  <c r="E381" i="3" s="1"/>
  <c r="D308" i="3"/>
  <c r="D381" i="3" s="1"/>
  <c r="C308" i="3"/>
  <c r="C381" i="3" s="1"/>
  <c r="O307" i="3"/>
  <c r="K307" i="3"/>
  <c r="G307" i="3"/>
  <c r="R307" i="3" s="1"/>
  <c r="O306" i="3"/>
  <c r="K306" i="3"/>
  <c r="G306" i="3"/>
  <c r="R306" i="3" s="1"/>
  <c r="N305" i="3"/>
  <c r="M305" i="3"/>
  <c r="M378" i="3" s="1"/>
  <c r="L305" i="3"/>
  <c r="L378" i="3" s="1"/>
  <c r="J305" i="3"/>
  <c r="I305" i="3"/>
  <c r="I378" i="3" s="1"/>
  <c r="H305" i="3"/>
  <c r="H378" i="3" s="1"/>
  <c r="F305" i="3"/>
  <c r="E305" i="3"/>
  <c r="E378" i="3" s="1"/>
  <c r="D305" i="3"/>
  <c r="D378" i="3" s="1"/>
  <c r="C305" i="3"/>
  <c r="C378" i="3" s="1"/>
  <c r="N304" i="3"/>
  <c r="N377" i="3" s="1"/>
  <c r="M304" i="3"/>
  <c r="M377" i="3" s="1"/>
  <c r="L304" i="3"/>
  <c r="L377" i="3" s="1"/>
  <c r="O377" i="3" s="1"/>
  <c r="J304" i="3"/>
  <c r="J377" i="3" s="1"/>
  <c r="I304" i="3"/>
  <c r="I377" i="3" s="1"/>
  <c r="H304" i="3"/>
  <c r="H377" i="3" s="1"/>
  <c r="K377" i="3" s="1"/>
  <c r="F304" i="3"/>
  <c r="F377" i="3" s="1"/>
  <c r="E304" i="3"/>
  <c r="E377" i="3" s="1"/>
  <c r="D304" i="3"/>
  <c r="D377" i="3" s="1"/>
  <c r="C304" i="3"/>
  <c r="C377" i="3" s="1"/>
  <c r="O303" i="3"/>
  <c r="K303" i="3"/>
  <c r="G303" i="3"/>
  <c r="R303" i="3" s="1"/>
  <c r="N302" i="3"/>
  <c r="N375" i="3" s="1"/>
  <c r="M302" i="3"/>
  <c r="M375" i="3" s="1"/>
  <c r="L302" i="3"/>
  <c r="L375" i="3" s="1"/>
  <c r="O375" i="3" s="1"/>
  <c r="J302" i="3"/>
  <c r="J375" i="3" s="1"/>
  <c r="I302" i="3"/>
  <c r="I375" i="3" s="1"/>
  <c r="H302" i="3"/>
  <c r="H375" i="3" s="1"/>
  <c r="K375" i="3" s="1"/>
  <c r="F302" i="3"/>
  <c r="F375" i="3" s="1"/>
  <c r="E302" i="3"/>
  <c r="E375" i="3" s="1"/>
  <c r="D302" i="3"/>
  <c r="D375" i="3" s="1"/>
  <c r="C302" i="3"/>
  <c r="C375" i="3" s="1"/>
  <c r="O301" i="3"/>
  <c r="K301" i="3"/>
  <c r="G301" i="3"/>
  <c r="R301" i="3" s="1"/>
  <c r="M300" i="3"/>
  <c r="M373" i="3" s="1"/>
  <c r="I300" i="3"/>
  <c r="I373" i="3" s="1"/>
  <c r="E300" i="3"/>
  <c r="E373" i="3" s="1"/>
  <c r="C300" i="3"/>
  <c r="C373" i="3" s="1"/>
  <c r="O299" i="3"/>
  <c r="K299" i="3"/>
  <c r="G299" i="3"/>
  <c r="R299" i="3" s="1"/>
  <c r="M298" i="3"/>
  <c r="M371" i="3" s="1"/>
  <c r="M389" i="3" s="1"/>
  <c r="L298" i="3"/>
  <c r="L371" i="3" s="1"/>
  <c r="I298" i="3"/>
  <c r="I371" i="3" s="1"/>
  <c r="I389" i="3" s="1"/>
  <c r="H298" i="3"/>
  <c r="H371" i="3" s="1"/>
  <c r="E298" i="3"/>
  <c r="E371" i="3" s="1"/>
  <c r="D298" i="3"/>
  <c r="D371" i="3" s="1"/>
  <c r="C298" i="3"/>
  <c r="C371" i="3" s="1"/>
  <c r="C389" i="3" s="1"/>
  <c r="N290" i="3"/>
  <c r="M290" i="3"/>
  <c r="L290" i="3"/>
  <c r="O290" i="3" s="1"/>
  <c r="J290" i="3"/>
  <c r="I290" i="3"/>
  <c r="H290" i="3"/>
  <c r="K290" i="3" s="1"/>
  <c r="F290" i="3"/>
  <c r="E290" i="3"/>
  <c r="D290" i="3"/>
  <c r="C290" i="3"/>
  <c r="N289" i="3"/>
  <c r="M289" i="3"/>
  <c r="L289" i="3"/>
  <c r="O289" i="3" s="1"/>
  <c r="J289" i="3"/>
  <c r="I289" i="3"/>
  <c r="H289" i="3"/>
  <c r="K289" i="3" s="1"/>
  <c r="F289" i="3"/>
  <c r="E289" i="3"/>
  <c r="D289" i="3"/>
  <c r="C289" i="3"/>
  <c r="N288" i="3"/>
  <c r="M288" i="3"/>
  <c r="L288" i="3"/>
  <c r="O288" i="3" s="1"/>
  <c r="J288" i="3"/>
  <c r="I288" i="3"/>
  <c r="H288" i="3"/>
  <c r="K288" i="3" s="1"/>
  <c r="F288" i="3"/>
  <c r="E288" i="3"/>
  <c r="D288" i="3"/>
  <c r="C288" i="3"/>
  <c r="N287" i="3"/>
  <c r="M287" i="3"/>
  <c r="L287" i="3"/>
  <c r="O287" i="3" s="1"/>
  <c r="J287" i="3"/>
  <c r="I287" i="3"/>
  <c r="H287" i="3"/>
  <c r="K287" i="3" s="1"/>
  <c r="F287" i="3"/>
  <c r="E287" i="3"/>
  <c r="D287" i="3"/>
  <c r="C287" i="3"/>
  <c r="N282" i="3"/>
  <c r="M282" i="3"/>
  <c r="L282" i="3"/>
  <c r="O282" i="3" s="1"/>
  <c r="J282" i="3"/>
  <c r="I282" i="3"/>
  <c r="H282" i="3"/>
  <c r="K282" i="3" s="1"/>
  <c r="F282" i="3"/>
  <c r="E282" i="3"/>
  <c r="D282" i="3"/>
  <c r="C282" i="3"/>
  <c r="N281" i="3"/>
  <c r="M281" i="3"/>
  <c r="L281" i="3"/>
  <c r="O281" i="3" s="1"/>
  <c r="J281" i="3"/>
  <c r="I281" i="3"/>
  <c r="H281" i="3"/>
  <c r="K281" i="3" s="1"/>
  <c r="F281" i="3"/>
  <c r="E281" i="3"/>
  <c r="D281" i="3"/>
  <c r="C281" i="3"/>
  <c r="N280" i="3"/>
  <c r="J280" i="3"/>
  <c r="F280" i="3"/>
  <c r="N278" i="3"/>
  <c r="M278" i="3"/>
  <c r="L278" i="3"/>
  <c r="O278" i="3" s="1"/>
  <c r="J278" i="3"/>
  <c r="I278" i="3"/>
  <c r="H278" i="3"/>
  <c r="K278" i="3" s="1"/>
  <c r="F278" i="3"/>
  <c r="E278" i="3"/>
  <c r="D278" i="3"/>
  <c r="C278" i="3"/>
  <c r="N276" i="3"/>
  <c r="M276" i="3"/>
  <c r="L276" i="3"/>
  <c r="O276" i="3" s="1"/>
  <c r="J276" i="3"/>
  <c r="I276" i="3"/>
  <c r="H276" i="3"/>
  <c r="K276" i="3" s="1"/>
  <c r="F276" i="3"/>
  <c r="E276" i="3"/>
  <c r="D276" i="3"/>
  <c r="C276" i="3"/>
  <c r="N275" i="3"/>
  <c r="L275" i="3"/>
  <c r="J275" i="3"/>
  <c r="H275" i="3"/>
  <c r="F275" i="3"/>
  <c r="D275" i="3"/>
  <c r="N274" i="3"/>
  <c r="M274" i="3"/>
  <c r="L274" i="3"/>
  <c r="O274" i="3" s="1"/>
  <c r="J274" i="3"/>
  <c r="I274" i="3"/>
  <c r="H274" i="3"/>
  <c r="K274" i="3" s="1"/>
  <c r="F274" i="3"/>
  <c r="E274" i="3"/>
  <c r="D274" i="3"/>
  <c r="C274" i="3"/>
  <c r="N273" i="3"/>
  <c r="J273" i="3"/>
  <c r="F273" i="3"/>
  <c r="O266" i="3"/>
  <c r="K266" i="3"/>
  <c r="G266" i="3"/>
  <c r="R266" i="3" s="1"/>
  <c r="C266" i="3"/>
  <c r="O265" i="3"/>
  <c r="K265" i="3"/>
  <c r="G265" i="3"/>
  <c r="R265" i="3" s="1"/>
  <c r="O264" i="3"/>
  <c r="K264" i="3"/>
  <c r="G264" i="3"/>
  <c r="R264" i="3" s="1"/>
  <c r="O263" i="3"/>
  <c r="K263" i="3"/>
  <c r="G263" i="3"/>
  <c r="R263" i="3" s="1"/>
  <c r="N262" i="3"/>
  <c r="M262" i="3"/>
  <c r="L262" i="3"/>
  <c r="O262" i="3" s="1"/>
  <c r="J262" i="3"/>
  <c r="I262" i="3"/>
  <c r="H262" i="3"/>
  <c r="K262" i="3" s="1"/>
  <c r="F262" i="3"/>
  <c r="E262" i="3"/>
  <c r="D262" i="3"/>
  <c r="C262" i="3"/>
  <c r="N261" i="3"/>
  <c r="M261" i="3"/>
  <c r="L261" i="3"/>
  <c r="O261" i="3" s="1"/>
  <c r="J261" i="3"/>
  <c r="I261" i="3"/>
  <c r="H261" i="3"/>
  <c r="K261" i="3" s="1"/>
  <c r="F261" i="3"/>
  <c r="E261" i="3"/>
  <c r="D261" i="3"/>
  <c r="C261" i="3"/>
  <c r="N260" i="3"/>
  <c r="M260" i="3"/>
  <c r="L260" i="3"/>
  <c r="O260" i="3" s="1"/>
  <c r="J260" i="3"/>
  <c r="I260" i="3"/>
  <c r="H260" i="3"/>
  <c r="K260" i="3" s="1"/>
  <c r="F260" i="3"/>
  <c r="E260" i="3"/>
  <c r="D260" i="3"/>
  <c r="C260" i="3"/>
  <c r="O259" i="3"/>
  <c r="K259" i="3"/>
  <c r="O258" i="3"/>
  <c r="K258" i="3"/>
  <c r="G258" i="3"/>
  <c r="R258" i="3" s="1"/>
  <c r="O257" i="3"/>
  <c r="K257" i="3"/>
  <c r="G257" i="3"/>
  <c r="R257" i="3" s="1"/>
  <c r="M256" i="3"/>
  <c r="L256" i="3"/>
  <c r="O256" i="3" s="1"/>
  <c r="I256" i="3"/>
  <c r="H256" i="3"/>
  <c r="K256" i="3" s="1"/>
  <c r="E256" i="3"/>
  <c r="D256" i="3"/>
  <c r="C256" i="3"/>
  <c r="N255" i="3"/>
  <c r="M255" i="3"/>
  <c r="L255" i="3"/>
  <c r="O255" i="3" s="1"/>
  <c r="J255" i="3"/>
  <c r="I255" i="3"/>
  <c r="H255" i="3"/>
  <c r="K255" i="3" s="1"/>
  <c r="F255" i="3"/>
  <c r="E255" i="3"/>
  <c r="D255" i="3"/>
  <c r="C255" i="3"/>
  <c r="O254" i="3"/>
  <c r="K254" i="3"/>
  <c r="G254" i="3"/>
  <c r="R254" i="3" s="1"/>
  <c r="N253" i="3"/>
  <c r="N267" i="3" s="1"/>
  <c r="M253" i="3"/>
  <c r="L253" i="3"/>
  <c r="O253" i="3" s="1"/>
  <c r="J253" i="3"/>
  <c r="J267" i="3" s="1"/>
  <c r="I253" i="3"/>
  <c r="H253" i="3"/>
  <c r="K253" i="3" s="1"/>
  <c r="F253" i="3"/>
  <c r="F267" i="3" s="1"/>
  <c r="E253" i="3"/>
  <c r="D253" i="3"/>
  <c r="C253" i="3"/>
  <c r="O252" i="3"/>
  <c r="K252" i="3"/>
  <c r="G252" i="3"/>
  <c r="R252" i="3" s="1"/>
  <c r="M251" i="3"/>
  <c r="O251" i="3" s="1"/>
  <c r="I251" i="3"/>
  <c r="K251" i="3" s="1"/>
  <c r="E251" i="3"/>
  <c r="C251" i="3"/>
  <c r="O250" i="3"/>
  <c r="K250" i="3"/>
  <c r="G250" i="3"/>
  <c r="R250" i="3" s="1"/>
  <c r="M249" i="3"/>
  <c r="M267" i="3" s="1"/>
  <c r="L249" i="3"/>
  <c r="L267" i="3" s="1"/>
  <c r="I249" i="3"/>
  <c r="I267" i="3" s="1"/>
  <c r="H249" i="3"/>
  <c r="H267" i="3" s="1"/>
  <c r="E249" i="3"/>
  <c r="E267" i="3" s="1"/>
  <c r="D249" i="3"/>
  <c r="D267" i="3" s="1"/>
  <c r="C249" i="3"/>
  <c r="C267" i="3" s="1"/>
  <c r="O241" i="3"/>
  <c r="K241" i="3"/>
  <c r="G241" i="3"/>
  <c r="R241" i="3" s="1"/>
  <c r="C241" i="3"/>
  <c r="O240" i="3"/>
  <c r="K240" i="3"/>
  <c r="G240" i="3"/>
  <c r="R240" i="3" s="1"/>
  <c r="O239" i="3"/>
  <c r="K239" i="3"/>
  <c r="G239" i="3"/>
  <c r="R239" i="3" s="1"/>
  <c r="O238" i="3"/>
  <c r="K238" i="3"/>
  <c r="G238" i="3"/>
  <c r="R238" i="3" s="1"/>
  <c r="N237" i="3"/>
  <c r="M237" i="3"/>
  <c r="L237" i="3"/>
  <c r="O237" i="3" s="1"/>
  <c r="J237" i="3"/>
  <c r="I237" i="3"/>
  <c r="H237" i="3"/>
  <c r="K237" i="3" s="1"/>
  <c r="F237" i="3"/>
  <c r="E237" i="3"/>
  <c r="D237" i="3"/>
  <c r="C237" i="3"/>
  <c r="N236" i="3"/>
  <c r="M236" i="3"/>
  <c r="L236" i="3"/>
  <c r="O236" i="3" s="1"/>
  <c r="J236" i="3"/>
  <c r="I236" i="3"/>
  <c r="H236" i="3"/>
  <c r="K236" i="3" s="1"/>
  <c r="F236" i="3"/>
  <c r="E236" i="3"/>
  <c r="D236" i="3"/>
  <c r="C236" i="3"/>
  <c r="N235" i="3"/>
  <c r="M235" i="3"/>
  <c r="L235" i="3"/>
  <c r="O235" i="3" s="1"/>
  <c r="J235" i="3"/>
  <c r="I235" i="3"/>
  <c r="H235" i="3"/>
  <c r="K235" i="3" s="1"/>
  <c r="F235" i="3"/>
  <c r="E235" i="3"/>
  <c r="D235" i="3"/>
  <c r="C235" i="3"/>
  <c r="O234" i="3"/>
  <c r="K234" i="3"/>
  <c r="O233" i="3"/>
  <c r="K233" i="3"/>
  <c r="G233" i="3"/>
  <c r="R233" i="3" s="1"/>
  <c r="O232" i="3"/>
  <c r="K232" i="3"/>
  <c r="G232" i="3"/>
  <c r="R232" i="3" s="1"/>
  <c r="M231" i="3"/>
  <c r="L231" i="3"/>
  <c r="O231" i="3" s="1"/>
  <c r="I231" i="3"/>
  <c r="H231" i="3"/>
  <c r="K231" i="3" s="1"/>
  <c r="E231" i="3"/>
  <c r="D231" i="3"/>
  <c r="C231" i="3"/>
  <c r="N230" i="3"/>
  <c r="M230" i="3"/>
  <c r="L230" i="3"/>
  <c r="O230" i="3" s="1"/>
  <c r="J230" i="3"/>
  <c r="I230" i="3"/>
  <c r="H230" i="3"/>
  <c r="K230" i="3" s="1"/>
  <c r="F230" i="3"/>
  <c r="E230" i="3"/>
  <c r="D230" i="3"/>
  <c r="C230" i="3"/>
  <c r="O229" i="3"/>
  <c r="K229" i="3"/>
  <c r="G229" i="3"/>
  <c r="R229" i="3" s="1"/>
  <c r="N228" i="3"/>
  <c r="N242" i="3" s="1"/>
  <c r="M228" i="3"/>
  <c r="L228" i="3"/>
  <c r="O228" i="3" s="1"/>
  <c r="J228" i="3"/>
  <c r="J242" i="3" s="1"/>
  <c r="I228" i="3"/>
  <c r="H228" i="3"/>
  <c r="K228" i="3" s="1"/>
  <c r="F228" i="3"/>
  <c r="F242" i="3" s="1"/>
  <c r="E228" i="3"/>
  <c r="D228" i="3"/>
  <c r="C228" i="3"/>
  <c r="O227" i="3"/>
  <c r="K227" i="3"/>
  <c r="G227" i="3"/>
  <c r="R227" i="3" s="1"/>
  <c r="M226" i="3"/>
  <c r="M412" i="3" s="1"/>
  <c r="I226" i="3"/>
  <c r="I412" i="3" s="1"/>
  <c r="E226" i="3"/>
  <c r="E412" i="3" s="1"/>
  <c r="C226" i="3"/>
  <c r="C412" i="3" s="1"/>
  <c r="O225" i="3"/>
  <c r="K225" i="3"/>
  <c r="G225" i="3"/>
  <c r="R225" i="3" s="1"/>
  <c r="M224" i="3"/>
  <c r="M410" i="3" s="1"/>
  <c r="L224" i="3"/>
  <c r="L410" i="3" s="1"/>
  <c r="O410" i="3" s="1"/>
  <c r="I224" i="3"/>
  <c r="I410" i="3" s="1"/>
  <c r="H224" i="3"/>
  <c r="H410" i="3" s="1"/>
  <c r="K410" i="3" s="1"/>
  <c r="E224" i="3"/>
  <c r="E410" i="3" s="1"/>
  <c r="D224" i="3"/>
  <c r="D410" i="3" s="1"/>
  <c r="G410" i="3" s="1"/>
  <c r="R410" i="3" s="1"/>
  <c r="C224" i="3"/>
  <c r="C410" i="3" s="1"/>
  <c r="O217" i="3"/>
  <c r="K217" i="3"/>
  <c r="G217" i="3"/>
  <c r="R217" i="3" s="1"/>
  <c r="C217" i="3"/>
  <c r="O216" i="3"/>
  <c r="K216" i="3"/>
  <c r="G216" i="3"/>
  <c r="R216" i="3" s="1"/>
  <c r="O215" i="3"/>
  <c r="K215" i="3"/>
  <c r="G215" i="3"/>
  <c r="R215" i="3" s="1"/>
  <c r="O214" i="3"/>
  <c r="K214" i="3"/>
  <c r="G214" i="3"/>
  <c r="R214" i="3" s="1"/>
  <c r="N213" i="3"/>
  <c r="N409" i="3" s="1"/>
  <c r="M213" i="3"/>
  <c r="M409" i="3" s="1"/>
  <c r="L213" i="3"/>
  <c r="L409" i="3" s="1"/>
  <c r="O409" i="3" s="1"/>
  <c r="J213" i="3"/>
  <c r="J409" i="3" s="1"/>
  <c r="I213" i="3"/>
  <c r="I409" i="3" s="1"/>
  <c r="H213" i="3"/>
  <c r="H409" i="3" s="1"/>
  <c r="K409" i="3" s="1"/>
  <c r="F213" i="3"/>
  <c r="F409" i="3" s="1"/>
  <c r="E213" i="3"/>
  <c r="E409" i="3" s="1"/>
  <c r="D213" i="3"/>
  <c r="D409" i="3" s="1"/>
  <c r="G409" i="3" s="1"/>
  <c r="R409" i="3" s="1"/>
  <c r="C213" i="3"/>
  <c r="C409" i="3" s="1"/>
  <c r="N212" i="3"/>
  <c r="N408" i="3" s="1"/>
  <c r="M212" i="3"/>
  <c r="M408" i="3" s="1"/>
  <c r="L212" i="3"/>
  <c r="L408" i="3" s="1"/>
  <c r="O408" i="3" s="1"/>
  <c r="J212" i="3"/>
  <c r="J408" i="3" s="1"/>
  <c r="I212" i="3"/>
  <c r="I408" i="3" s="1"/>
  <c r="H212" i="3"/>
  <c r="H408" i="3" s="1"/>
  <c r="K408" i="3" s="1"/>
  <c r="F212" i="3"/>
  <c r="F408" i="3" s="1"/>
  <c r="E212" i="3"/>
  <c r="E408" i="3" s="1"/>
  <c r="D212" i="3"/>
  <c r="D408" i="3" s="1"/>
  <c r="G408" i="3" s="1"/>
  <c r="R408" i="3" s="1"/>
  <c r="C212" i="3"/>
  <c r="C408" i="3" s="1"/>
  <c r="N211" i="3"/>
  <c r="N407" i="3" s="1"/>
  <c r="M211" i="3"/>
  <c r="M407" i="3" s="1"/>
  <c r="L211" i="3"/>
  <c r="L407" i="3" s="1"/>
  <c r="O407" i="3" s="1"/>
  <c r="J211" i="3"/>
  <c r="J407" i="3" s="1"/>
  <c r="I211" i="3"/>
  <c r="I407" i="3" s="1"/>
  <c r="H211" i="3"/>
  <c r="H407" i="3" s="1"/>
  <c r="K407" i="3" s="1"/>
  <c r="F211" i="3"/>
  <c r="F407" i="3" s="1"/>
  <c r="E211" i="3"/>
  <c r="E407" i="3" s="1"/>
  <c r="D211" i="3"/>
  <c r="D407" i="3" s="1"/>
  <c r="G407" i="3" s="1"/>
  <c r="R407" i="3" s="1"/>
  <c r="C211" i="3"/>
  <c r="C407" i="3" s="1"/>
  <c r="N406" i="3"/>
  <c r="M406" i="3"/>
  <c r="L406" i="3"/>
  <c r="O406" i="3" s="1"/>
  <c r="J406" i="3"/>
  <c r="I406" i="3"/>
  <c r="H406" i="3"/>
  <c r="K406" i="3" s="1"/>
  <c r="F406" i="3"/>
  <c r="E406" i="3"/>
  <c r="D406" i="3"/>
  <c r="G406" i="3" s="1"/>
  <c r="R406" i="3" s="1"/>
  <c r="C406" i="3"/>
  <c r="O209" i="3"/>
  <c r="K209" i="3"/>
  <c r="G209" i="3"/>
  <c r="R209" i="3" s="1"/>
  <c r="O208" i="3"/>
  <c r="K208" i="3"/>
  <c r="G208" i="3"/>
  <c r="R208" i="3" s="1"/>
  <c r="M207" i="3"/>
  <c r="M403" i="3" s="1"/>
  <c r="L207" i="3"/>
  <c r="L403" i="3" s="1"/>
  <c r="I207" i="3"/>
  <c r="I403" i="3" s="1"/>
  <c r="H207" i="3"/>
  <c r="H403" i="3" s="1"/>
  <c r="E207" i="3"/>
  <c r="E403" i="3" s="1"/>
  <c r="D207" i="3"/>
  <c r="D403" i="3" s="1"/>
  <c r="C207" i="3"/>
  <c r="C403" i="3" s="1"/>
  <c r="N206" i="3"/>
  <c r="N402" i="3" s="1"/>
  <c r="M206" i="3"/>
  <c r="M402" i="3" s="1"/>
  <c r="L206" i="3"/>
  <c r="L402" i="3" s="1"/>
  <c r="O402" i="3" s="1"/>
  <c r="J206" i="3"/>
  <c r="J402" i="3" s="1"/>
  <c r="I206" i="3"/>
  <c r="I402" i="3" s="1"/>
  <c r="H206" i="3"/>
  <c r="H402" i="3" s="1"/>
  <c r="K402" i="3" s="1"/>
  <c r="F206" i="3"/>
  <c r="F402" i="3" s="1"/>
  <c r="E206" i="3"/>
  <c r="E402" i="3" s="1"/>
  <c r="D206" i="3"/>
  <c r="D402" i="3" s="1"/>
  <c r="G402" i="3" s="1"/>
  <c r="R402" i="3" s="1"/>
  <c r="C206" i="3"/>
  <c r="C402" i="3" s="1"/>
  <c r="O205" i="3"/>
  <c r="K205" i="3"/>
  <c r="G205" i="3"/>
  <c r="R205" i="3" s="1"/>
  <c r="N204" i="3"/>
  <c r="N400" i="3" s="1"/>
  <c r="M204" i="3"/>
  <c r="M400" i="3" s="1"/>
  <c r="L204" i="3"/>
  <c r="L400" i="3" s="1"/>
  <c r="O400" i="3" s="1"/>
  <c r="J204" i="3"/>
  <c r="J400" i="3" s="1"/>
  <c r="I204" i="3"/>
  <c r="I400" i="3" s="1"/>
  <c r="H204" i="3"/>
  <c r="H400" i="3" s="1"/>
  <c r="K400" i="3" s="1"/>
  <c r="F204" i="3"/>
  <c r="F400" i="3" s="1"/>
  <c r="E204" i="3"/>
  <c r="E400" i="3" s="1"/>
  <c r="D204" i="3"/>
  <c r="D400" i="3" s="1"/>
  <c r="G400" i="3" s="1"/>
  <c r="R400" i="3" s="1"/>
  <c r="C204" i="3"/>
  <c r="C400" i="3" s="1"/>
  <c r="O203" i="3"/>
  <c r="K203" i="3"/>
  <c r="G203" i="3"/>
  <c r="R203" i="3" s="1"/>
  <c r="M202" i="3"/>
  <c r="M398" i="3" s="1"/>
  <c r="I202" i="3"/>
  <c r="I398" i="3" s="1"/>
  <c r="E202" i="3"/>
  <c r="E398" i="3" s="1"/>
  <c r="C202" i="3"/>
  <c r="C398" i="3" s="1"/>
  <c r="O201" i="3"/>
  <c r="K201" i="3"/>
  <c r="G201" i="3"/>
  <c r="R201" i="3" s="1"/>
  <c r="M200" i="3"/>
  <c r="M396" i="3" s="1"/>
  <c r="M414" i="3" s="1"/>
  <c r="L200" i="3"/>
  <c r="L396" i="3" s="1"/>
  <c r="I200" i="3"/>
  <c r="I396" i="3" s="1"/>
  <c r="I414" i="3" s="1"/>
  <c r="H200" i="3"/>
  <c r="H396" i="3" s="1"/>
  <c r="E200" i="3"/>
  <c r="E396" i="3" s="1"/>
  <c r="E414" i="3" s="1"/>
  <c r="D200" i="3"/>
  <c r="D396" i="3" s="1"/>
  <c r="C200" i="3"/>
  <c r="C396" i="3" s="1"/>
  <c r="C414" i="3" s="1"/>
  <c r="N193" i="3"/>
  <c r="M193" i="3"/>
  <c r="L193" i="3"/>
  <c r="O193" i="3" s="1"/>
  <c r="J193" i="3"/>
  <c r="I193" i="3"/>
  <c r="H193" i="3"/>
  <c r="K193" i="3" s="1"/>
  <c r="F193" i="3"/>
  <c r="E193" i="3"/>
  <c r="D193" i="3"/>
  <c r="G193" i="3" s="1"/>
  <c r="R193" i="3" s="1"/>
  <c r="N192" i="3"/>
  <c r="M192" i="3"/>
  <c r="L192" i="3"/>
  <c r="O192" i="3" s="1"/>
  <c r="J192" i="3"/>
  <c r="I192" i="3"/>
  <c r="H192" i="3"/>
  <c r="K192" i="3" s="1"/>
  <c r="F192" i="3"/>
  <c r="E192" i="3"/>
  <c r="D192" i="3"/>
  <c r="G192" i="3" s="1"/>
  <c r="R192" i="3" s="1"/>
  <c r="C192" i="3"/>
  <c r="N191" i="3"/>
  <c r="M191" i="3"/>
  <c r="L191" i="3"/>
  <c r="O191" i="3" s="1"/>
  <c r="J191" i="3"/>
  <c r="I191" i="3"/>
  <c r="H191" i="3"/>
  <c r="K191" i="3" s="1"/>
  <c r="F191" i="3"/>
  <c r="E191" i="3"/>
  <c r="D191" i="3"/>
  <c r="G191" i="3" s="1"/>
  <c r="R191" i="3" s="1"/>
  <c r="C191" i="3"/>
  <c r="N190" i="3"/>
  <c r="M190" i="3"/>
  <c r="L190" i="3"/>
  <c r="O190" i="3" s="1"/>
  <c r="J190" i="3"/>
  <c r="I190" i="3"/>
  <c r="H190" i="3"/>
  <c r="K190" i="3" s="1"/>
  <c r="F190" i="3"/>
  <c r="E190" i="3"/>
  <c r="D190" i="3"/>
  <c r="G190" i="3" s="1"/>
  <c r="R190" i="3" s="1"/>
  <c r="C190" i="3"/>
  <c r="N189" i="3"/>
  <c r="M189" i="3"/>
  <c r="L189" i="3"/>
  <c r="O189" i="3" s="1"/>
  <c r="J189" i="3"/>
  <c r="I189" i="3"/>
  <c r="H189" i="3"/>
  <c r="K189" i="3" s="1"/>
  <c r="F189" i="3"/>
  <c r="E189" i="3"/>
  <c r="D189" i="3"/>
  <c r="G189" i="3" s="1"/>
  <c r="R189" i="3" s="1"/>
  <c r="C189" i="3"/>
  <c r="N188" i="3"/>
  <c r="M188" i="3"/>
  <c r="L188" i="3"/>
  <c r="O188" i="3" s="1"/>
  <c r="J188" i="3"/>
  <c r="I188" i="3"/>
  <c r="H188" i="3"/>
  <c r="K188" i="3" s="1"/>
  <c r="F188" i="3"/>
  <c r="E188" i="3"/>
  <c r="D188" i="3"/>
  <c r="G188" i="3" s="1"/>
  <c r="R188" i="3" s="1"/>
  <c r="C188" i="3"/>
  <c r="N187" i="3"/>
  <c r="M187" i="3"/>
  <c r="L187" i="3"/>
  <c r="O187" i="3" s="1"/>
  <c r="J187" i="3"/>
  <c r="I187" i="3"/>
  <c r="H187" i="3"/>
  <c r="K187" i="3" s="1"/>
  <c r="F187" i="3"/>
  <c r="E187" i="3"/>
  <c r="D187" i="3"/>
  <c r="G187" i="3" s="1"/>
  <c r="R187" i="3" s="1"/>
  <c r="C187" i="3"/>
  <c r="N186" i="3"/>
  <c r="M186" i="3"/>
  <c r="L186" i="3"/>
  <c r="O186" i="3" s="1"/>
  <c r="J186" i="3"/>
  <c r="I186" i="3"/>
  <c r="H186" i="3"/>
  <c r="K186" i="3" s="1"/>
  <c r="F186" i="3"/>
  <c r="E186" i="3"/>
  <c r="D186" i="3"/>
  <c r="G186" i="3" s="1"/>
  <c r="R186" i="3" s="1"/>
  <c r="C186" i="3"/>
  <c r="N185" i="3"/>
  <c r="M185" i="3"/>
  <c r="L185" i="3"/>
  <c r="O185" i="3" s="1"/>
  <c r="J185" i="3"/>
  <c r="I185" i="3"/>
  <c r="H185" i="3"/>
  <c r="K185" i="3" s="1"/>
  <c r="F185" i="3"/>
  <c r="E185" i="3"/>
  <c r="D185" i="3"/>
  <c r="G185" i="3" s="1"/>
  <c r="R185" i="3" s="1"/>
  <c r="C185" i="3"/>
  <c r="N184" i="3"/>
  <c r="M184" i="3"/>
  <c r="L184" i="3"/>
  <c r="O184" i="3" s="1"/>
  <c r="J184" i="3"/>
  <c r="I184" i="3"/>
  <c r="H184" i="3"/>
  <c r="K184" i="3" s="1"/>
  <c r="F184" i="3"/>
  <c r="E184" i="3"/>
  <c r="D184" i="3"/>
  <c r="G184" i="3" s="1"/>
  <c r="R184" i="3" s="1"/>
  <c r="C184" i="3"/>
  <c r="N183" i="3"/>
  <c r="M183" i="3"/>
  <c r="L183" i="3"/>
  <c r="O183" i="3" s="1"/>
  <c r="J183" i="3"/>
  <c r="I183" i="3"/>
  <c r="H183" i="3"/>
  <c r="K183" i="3" s="1"/>
  <c r="F183" i="3"/>
  <c r="E183" i="3"/>
  <c r="D183" i="3"/>
  <c r="G183" i="3" s="1"/>
  <c r="R183" i="3" s="1"/>
  <c r="C183" i="3"/>
  <c r="N182" i="3"/>
  <c r="M182" i="3"/>
  <c r="L182" i="3"/>
  <c r="O182" i="3" s="1"/>
  <c r="J182" i="3"/>
  <c r="I182" i="3"/>
  <c r="H182" i="3"/>
  <c r="K182" i="3" s="1"/>
  <c r="F182" i="3"/>
  <c r="E182" i="3"/>
  <c r="D182" i="3"/>
  <c r="G182" i="3" s="1"/>
  <c r="R182" i="3" s="1"/>
  <c r="C182" i="3"/>
  <c r="N181" i="3"/>
  <c r="M181" i="3"/>
  <c r="L181" i="3"/>
  <c r="O181" i="3" s="1"/>
  <c r="J181" i="3"/>
  <c r="I181" i="3"/>
  <c r="H181" i="3"/>
  <c r="K181" i="3" s="1"/>
  <c r="F181" i="3"/>
  <c r="E181" i="3"/>
  <c r="D181" i="3"/>
  <c r="G181" i="3" s="1"/>
  <c r="R181" i="3" s="1"/>
  <c r="C181" i="3"/>
  <c r="N180" i="3"/>
  <c r="M180" i="3"/>
  <c r="L180" i="3"/>
  <c r="O180" i="3" s="1"/>
  <c r="J180" i="3"/>
  <c r="I180" i="3"/>
  <c r="H180" i="3"/>
  <c r="K180" i="3" s="1"/>
  <c r="F180" i="3"/>
  <c r="E180" i="3"/>
  <c r="D180" i="3"/>
  <c r="G180" i="3" s="1"/>
  <c r="R180" i="3" s="1"/>
  <c r="C180" i="3"/>
  <c r="N179" i="3"/>
  <c r="M179" i="3"/>
  <c r="L179" i="3"/>
  <c r="O179" i="3" s="1"/>
  <c r="J179" i="3"/>
  <c r="I179" i="3"/>
  <c r="H179" i="3"/>
  <c r="K179" i="3" s="1"/>
  <c r="F179" i="3"/>
  <c r="E179" i="3"/>
  <c r="D179" i="3"/>
  <c r="G179" i="3" s="1"/>
  <c r="R179" i="3" s="1"/>
  <c r="C179" i="3"/>
  <c r="N178" i="3"/>
  <c r="M178" i="3"/>
  <c r="L178" i="3"/>
  <c r="O178" i="3" s="1"/>
  <c r="J178" i="3"/>
  <c r="I178" i="3"/>
  <c r="H178" i="3"/>
  <c r="K178" i="3" s="1"/>
  <c r="F178" i="3"/>
  <c r="E178" i="3"/>
  <c r="D178" i="3"/>
  <c r="G178" i="3" s="1"/>
  <c r="R178" i="3" s="1"/>
  <c r="C178" i="3"/>
  <c r="N177" i="3"/>
  <c r="M177" i="3"/>
  <c r="L177" i="3"/>
  <c r="O177" i="3" s="1"/>
  <c r="J177" i="3"/>
  <c r="I177" i="3"/>
  <c r="H177" i="3"/>
  <c r="K177" i="3" s="1"/>
  <c r="F177" i="3"/>
  <c r="E177" i="3"/>
  <c r="D177" i="3"/>
  <c r="G177" i="3" s="1"/>
  <c r="R177" i="3" s="1"/>
  <c r="C177" i="3"/>
  <c r="N176" i="3"/>
  <c r="N194" i="3" s="1"/>
  <c r="M176" i="3"/>
  <c r="M194" i="3" s="1"/>
  <c r="L176" i="3"/>
  <c r="L194" i="3" s="1"/>
  <c r="J176" i="3"/>
  <c r="J194" i="3" s="1"/>
  <c r="I176" i="3"/>
  <c r="I194" i="3" s="1"/>
  <c r="H176" i="3"/>
  <c r="H194" i="3" s="1"/>
  <c r="F176" i="3"/>
  <c r="F194" i="3" s="1"/>
  <c r="E176" i="3"/>
  <c r="E194" i="3" s="1"/>
  <c r="D176" i="3"/>
  <c r="D194" i="3" s="1"/>
  <c r="C176" i="3"/>
  <c r="N170" i="3"/>
  <c r="M170" i="3"/>
  <c r="L170" i="3"/>
  <c r="J170" i="3"/>
  <c r="I170" i="3"/>
  <c r="H170" i="3"/>
  <c r="F170" i="3"/>
  <c r="E170" i="3"/>
  <c r="D170" i="3"/>
  <c r="O169" i="3"/>
  <c r="K169" i="3"/>
  <c r="G169" i="3"/>
  <c r="R169" i="3" s="1"/>
  <c r="C169" i="3"/>
  <c r="C170" i="3" s="1"/>
  <c r="O168" i="3"/>
  <c r="K168" i="3"/>
  <c r="G168" i="3"/>
  <c r="R168" i="3" s="1"/>
  <c r="O167" i="3"/>
  <c r="K167" i="3"/>
  <c r="G167" i="3"/>
  <c r="R167" i="3" s="1"/>
  <c r="O166" i="3"/>
  <c r="K166" i="3"/>
  <c r="G166" i="3"/>
  <c r="R166" i="3" s="1"/>
  <c r="O165" i="3"/>
  <c r="K165" i="3"/>
  <c r="G165" i="3"/>
  <c r="R165" i="3" s="1"/>
  <c r="O164" i="3"/>
  <c r="K164" i="3"/>
  <c r="G164" i="3"/>
  <c r="R164" i="3" s="1"/>
  <c r="O163" i="3"/>
  <c r="K163" i="3"/>
  <c r="G163" i="3"/>
  <c r="R163" i="3" s="1"/>
  <c r="O162" i="3"/>
  <c r="K162" i="3"/>
  <c r="G162" i="3"/>
  <c r="R162" i="3" s="1"/>
  <c r="O161" i="3"/>
  <c r="K161" i="3"/>
  <c r="G161" i="3"/>
  <c r="R161" i="3" s="1"/>
  <c r="O160" i="3"/>
  <c r="K160" i="3"/>
  <c r="G160" i="3"/>
  <c r="R160" i="3" s="1"/>
  <c r="O159" i="3"/>
  <c r="K159" i="3"/>
  <c r="G159" i="3"/>
  <c r="R159" i="3" s="1"/>
  <c r="O158" i="3"/>
  <c r="K158" i="3"/>
  <c r="G158" i="3"/>
  <c r="R158" i="3" s="1"/>
  <c r="O157" i="3"/>
  <c r="K157" i="3"/>
  <c r="G157" i="3"/>
  <c r="R157" i="3" s="1"/>
  <c r="O156" i="3"/>
  <c r="K156" i="3"/>
  <c r="G156" i="3"/>
  <c r="R156" i="3" s="1"/>
  <c r="O155" i="3"/>
  <c r="K155" i="3"/>
  <c r="G155" i="3"/>
  <c r="R155" i="3" s="1"/>
  <c r="O154" i="3"/>
  <c r="K154" i="3"/>
  <c r="G154" i="3"/>
  <c r="R154" i="3" s="1"/>
  <c r="O153" i="3"/>
  <c r="K153" i="3"/>
  <c r="G153" i="3"/>
  <c r="R153" i="3" s="1"/>
  <c r="O152" i="3"/>
  <c r="O170" i="3" s="1"/>
  <c r="K152" i="3"/>
  <c r="K170" i="3" s="1"/>
  <c r="G152" i="3"/>
  <c r="G170" i="3" s="1"/>
  <c r="R170" i="3" s="1"/>
  <c r="N146" i="3"/>
  <c r="M146" i="3"/>
  <c r="L146" i="3"/>
  <c r="J146" i="3"/>
  <c r="I146" i="3"/>
  <c r="H146" i="3"/>
  <c r="F146" i="3"/>
  <c r="E146" i="3"/>
  <c r="D146" i="3"/>
  <c r="O145" i="3"/>
  <c r="K145" i="3"/>
  <c r="G145" i="3"/>
  <c r="R145" i="3" s="1"/>
  <c r="C145" i="3"/>
  <c r="C146" i="3" s="1"/>
  <c r="O144" i="3"/>
  <c r="K144" i="3"/>
  <c r="G144" i="3"/>
  <c r="R144" i="3" s="1"/>
  <c r="O143" i="3"/>
  <c r="K143" i="3"/>
  <c r="G143" i="3"/>
  <c r="R143" i="3" s="1"/>
  <c r="O142" i="3"/>
  <c r="K142" i="3"/>
  <c r="G142" i="3"/>
  <c r="R142" i="3" s="1"/>
  <c r="O141" i="3"/>
  <c r="K141" i="3"/>
  <c r="G141" i="3"/>
  <c r="R141" i="3" s="1"/>
  <c r="O140" i="3"/>
  <c r="K140" i="3"/>
  <c r="G140" i="3"/>
  <c r="R140" i="3" s="1"/>
  <c r="O139" i="3"/>
  <c r="K139" i="3"/>
  <c r="G139" i="3"/>
  <c r="R139" i="3" s="1"/>
  <c r="O138" i="3"/>
  <c r="K138" i="3"/>
  <c r="G138" i="3"/>
  <c r="R138" i="3" s="1"/>
  <c r="O137" i="3"/>
  <c r="K137" i="3"/>
  <c r="G137" i="3"/>
  <c r="R137" i="3" s="1"/>
  <c r="O136" i="3"/>
  <c r="K136" i="3"/>
  <c r="G136" i="3"/>
  <c r="R136" i="3" s="1"/>
  <c r="O135" i="3"/>
  <c r="K135" i="3"/>
  <c r="G135" i="3"/>
  <c r="R135" i="3" s="1"/>
  <c r="O134" i="3"/>
  <c r="K134" i="3"/>
  <c r="G134" i="3"/>
  <c r="R134" i="3" s="1"/>
  <c r="O133" i="3"/>
  <c r="K133" i="3"/>
  <c r="G133" i="3"/>
  <c r="R133" i="3" s="1"/>
  <c r="O132" i="3"/>
  <c r="K132" i="3"/>
  <c r="G132" i="3"/>
  <c r="R132" i="3" s="1"/>
  <c r="O131" i="3"/>
  <c r="K131" i="3"/>
  <c r="G131" i="3"/>
  <c r="R131" i="3" s="1"/>
  <c r="O130" i="3"/>
  <c r="K130" i="3"/>
  <c r="G130" i="3"/>
  <c r="R130" i="3" s="1"/>
  <c r="O129" i="3"/>
  <c r="K129" i="3"/>
  <c r="G129" i="3"/>
  <c r="R129" i="3" s="1"/>
  <c r="O128" i="3"/>
  <c r="O146" i="3" s="1"/>
  <c r="K128" i="3"/>
  <c r="K146" i="3" s="1"/>
  <c r="G128" i="3"/>
  <c r="G146" i="3" s="1"/>
  <c r="R146" i="3" s="1"/>
  <c r="N122" i="3"/>
  <c r="M122" i="3"/>
  <c r="L122" i="3"/>
  <c r="J122" i="3"/>
  <c r="I122" i="3"/>
  <c r="H122" i="3"/>
  <c r="F122" i="3"/>
  <c r="E122" i="3"/>
  <c r="D122" i="3"/>
  <c r="O121" i="3"/>
  <c r="K121" i="3"/>
  <c r="G121" i="3"/>
  <c r="R121" i="3" s="1"/>
  <c r="C121" i="3"/>
  <c r="C193" i="3" s="1"/>
  <c r="O120" i="3"/>
  <c r="K120" i="3"/>
  <c r="G120" i="3"/>
  <c r="R120" i="3" s="1"/>
  <c r="O119" i="3"/>
  <c r="K119" i="3"/>
  <c r="G119" i="3"/>
  <c r="R119" i="3" s="1"/>
  <c r="O118" i="3"/>
  <c r="K118" i="3"/>
  <c r="G118" i="3"/>
  <c r="R118" i="3" s="1"/>
  <c r="O117" i="3"/>
  <c r="K117" i="3"/>
  <c r="G117" i="3"/>
  <c r="R117" i="3" s="1"/>
  <c r="O116" i="3"/>
  <c r="K116" i="3"/>
  <c r="G116" i="3"/>
  <c r="R116" i="3" s="1"/>
  <c r="O115" i="3"/>
  <c r="K115" i="3"/>
  <c r="G115" i="3"/>
  <c r="R115" i="3" s="1"/>
  <c r="O114" i="3"/>
  <c r="K114" i="3"/>
  <c r="G114" i="3"/>
  <c r="R114" i="3" s="1"/>
  <c r="O113" i="3"/>
  <c r="K113" i="3"/>
  <c r="G113" i="3"/>
  <c r="R113" i="3" s="1"/>
  <c r="O112" i="3"/>
  <c r="K112" i="3"/>
  <c r="G112" i="3"/>
  <c r="R112" i="3" s="1"/>
  <c r="O111" i="3"/>
  <c r="K111" i="3"/>
  <c r="G111" i="3"/>
  <c r="R111" i="3" s="1"/>
  <c r="O110" i="3"/>
  <c r="K110" i="3"/>
  <c r="G110" i="3"/>
  <c r="R110" i="3" s="1"/>
  <c r="O109" i="3"/>
  <c r="K109" i="3"/>
  <c r="G109" i="3"/>
  <c r="R109" i="3" s="1"/>
  <c r="O108" i="3"/>
  <c r="K108" i="3"/>
  <c r="G108" i="3"/>
  <c r="R108" i="3" s="1"/>
  <c r="O107" i="3"/>
  <c r="K107" i="3"/>
  <c r="G107" i="3"/>
  <c r="R107" i="3" s="1"/>
  <c r="O106" i="3"/>
  <c r="K106" i="3"/>
  <c r="G106" i="3"/>
  <c r="R106" i="3" s="1"/>
  <c r="O105" i="3"/>
  <c r="K105" i="3"/>
  <c r="G105" i="3"/>
  <c r="R105" i="3" s="1"/>
  <c r="O104" i="3"/>
  <c r="O122" i="3" s="1"/>
  <c r="K104" i="3"/>
  <c r="K122" i="3" s="1"/>
  <c r="G104" i="3"/>
  <c r="G122" i="3" s="1"/>
  <c r="R122" i="3" s="1"/>
  <c r="N97" i="3"/>
  <c r="N439" i="3" s="1"/>
  <c r="M97" i="3"/>
  <c r="M439" i="3" s="1"/>
  <c r="L97" i="3"/>
  <c r="L439" i="3" s="1"/>
  <c r="O439" i="3" s="1"/>
  <c r="J97" i="3"/>
  <c r="J439" i="3" s="1"/>
  <c r="I97" i="3"/>
  <c r="I439" i="3" s="1"/>
  <c r="H97" i="3"/>
  <c r="H439" i="3" s="1"/>
  <c r="K439" i="3" s="1"/>
  <c r="F97" i="3"/>
  <c r="F439" i="3" s="1"/>
  <c r="E97" i="3"/>
  <c r="E439" i="3" s="1"/>
  <c r="D97" i="3"/>
  <c r="D439" i="3" s="1"/>
  <c r="C97" i="3"/>
  <c r="C439" i="3" s="1"/>
  <c r="N96" i="3"/>
  <c r="N438" i="3" s="1"/>
  <c r="M96" i="3"/>
  <c r="M438" i="3" s="1"/>
  <c r="L96" i="3"/>
  <c r="L438" i="3" s="1"/>
  <c r="O438" i="3" s="1"/>
  <c r="J96" i="3"/>
  <c r="J438" i="3" s="1"/>
  <c r="I96" i="3"/>
  <c r="I438" i="3" s="1"/>
  <c r="H96" i="3"/>
  <c r="H438" i="3" s="1"/>
  <c r="K438" i="3" s="1"/>
  <c r="F96" i="3"/>
  <c r="F438" i="3" s="1"/>
  <c r="E96" i="3"/>
  <c r="E438" i="3" s="1"/>
  <c r="D96" i="3"/>
  <c r="D438" i="3" s="1"/>
  <c r="C96" i="3"/>
  <c r="C438" i="3" s="1"/>
  <c r="N95" i="3"/>
  <c r="N437" i="3" s="1"/>
  <c r="M95" i="3"/>
  <c r="M437" i="3" s="1"/>
  <c r="L95" i="3"/>
  <c r="L437" i="3" s="1"/>
  <c r="O437" i="3" s="1"/>
  <c r="J95" i="3"/>
  <c r="J437" i="3" s="1"/>
  <c r="I95" i="3"/>
  <c r="I437" i="3" s="1"/>
  <c r="H95" i="3"/>
  <c r="H437" i="3" s="1"/>
  <c r="K437" i="3" s="1"/>
  <c r="F95" i="3"/>
  <c r="F437" i="3" s="1"/>
  <c r="E95" i="3"/>
  <c r="E437" i="3" s="1"/>
  <c r="D95" i="3"/>
  <c r="D437" i="3" s="1"/>
  <c r="C95" i="3"/>
  <c r="C437" i="3" s="1"/>
  <c r="N94" i="3"/>
  <c r="N436" i="3" s="1"/>
  <c r="M94" i="3"/>
  <c r="M436" i="3" s="1"/>
  <c r="L94" i="3"/>
  <c r="L436" i="3" s="1"/>
  <c r="O436" i="3" s="1"/>
  <c r="J94" i="3"/>
  <c r="J436" i="3" s="1"/>
  <c r="I94" i="3"/>
  <c r="I436" i="3" s="1"/>
  <c r="H94" i="3"/>
  <c r="H436" i="3" s="1"/>
  <c r="K436" i="3" s="1"/>
  <c r="F94" i="3"/>
  <c r="F436" i="3" s="1"/>
  <c r="E94" i="3"/>
  <c r="E436" i="3" s="1"/>
  <c r="D94" i="3"/>
  <c r="D436" i="3" s="1"/>
  <c r="C94" i="3"/>
  <c r="C436" i="3" s="1"/>
  <c r="N93" i="3"/>
  <c r="M93" i="3"/>
  <c r="L93" i="3"/>
  <c r="J93" i="3"/>
  <c r="I93" i="3"/>
  <c r="H93" i="3"/>
  <c r="F93" i="3"/>
  <c r="E93" i="3"/>
  <c r="D93" i="3"/>
  <c r="C93" i="3"/>
  <c r="N92" i="3"/>
  <c r="M92" i="3"/>
  <c r="L92" i="3"/>
  <c r="J92" i="3"/>
  <c r="I92" i="3"/>
  <c r="H92" i="3"/>
  <c r="F92" i="3"/>
  <c r="E92" i="3"/>
  <c r="D92" i="3"/>
  <c r="C92" i="3"/>
  <c r="N91" i="3"/>
  <c r="M91" i="3"/>
  <c r="L91" i="3"/>
  <c r="J91" i="3"/>
  <c r="I91" i="3"/>
  <c r="H91" i="3"/>
  <c r="F91" i="3"/>
  <c r="E91" i="3"/>
  <c r="D91" i="3"/>
  <c r="C91" i="3"/>
  <c r="N90" i="3"/>
  <c r="M90" i="3"/>
  <c r="L90" i="3"/>
  <c r="J90" i="3"/>
  <c r="I90" i="3"/>
  <c r="H90" i="3"/>
  <c r="F90" i="3"/>
  <c r="E90" i="3"/>
  <c r="D90" i="3"/>
  <c r="C90" i="3"/>
  <c r="N89" i="3"/>
  <c r="N431" i="3" s="1"/>
  <c r="M89" i="3"/>
  <c r="M431" i="3" s="1"/>
  <c r="L89" i="3"/>
  <c r="L431" i="3" s="1"/>
  <c r="O431" i="3" s="1"/>
  <c r="J89" i="3"/>
  <c r="J431" i="3" s="1"/>
  <c r="I89" i="3"/>
  <c r="I431" i="3" s="1"/>
  <c r="H89" i="3"/>
  <c r="H431" i="3" s="1"/>
  <c r="K431" i="3" s="1"/>
  <c r="F89" i="3"/>
  <c r="F431" i="3" s="1"/>
  <c r="E89" i="3"/>
  <c r="E431" i="3" s="1"/>
  <c r="D89" i="3"/>
  <c r="D431" i="3" s="1"/>
  <c r="C89" i="3"/>
  <c r="C431" i="3" s="1"/>
  <c r="N88" i="3"/>
  <c r="N430" i="3" s="1"/>
  <c r="M88" i="3"/>
  <c r="M430" i="3" s="1"/>
  <c r="L88" i="3"/>
  <c r="L430" i="3" s="1"/>
  <c r="O430" i="3" s="1"/>
  <c r="J88" i="3"/>
  <c r="J430" i="3" s="1"/>
  <c r="I88" i="3"/>
  <c r="I430" i="3" s="1"/>
  <c r="H88" i="3"/>
  <c r="H430" i="3" s="1"/>
  <c r="K430" i="3" s="1"/>
  <c r="F88" i="3"/>
  <c r="F430" i="3" s="1"/>
  <c r="E88" i="3"/>
  <c r="E430" i="3" s="1"/>
  <c r="D88" i="3"/>
  <c r="D430" i="3" s="1"/>
  <c r="C88" i="3"/>
  <c r="C430" i="3" s="1"/>
  <c r="N87" i="3"/>
  <c r="M87" i="3"/>
  <c r="L87" i="3"/>
  <c r="J87" i="3"/>
  <c r="I87" i="3"/>
  <c r="H87" i="3"/>
  <c r="F87" i="3"/>
  <c r="E87" i="3"/>
  <c r="D87" i="3"/>
  <c r="C87" i="3"/>
  <c r="N86" i="3"/>
  <c r="M86" i="3"/>
  <c r="L86" i="3"/>
  <c r="J86" i="3"/>
  <c r="I86" i="3"/>
  <c r="H86" i="3"/>
  <c r="F86" i="3"/>
  <c r="E86" i="3"/>
  <c r="D86" i="3"/>
  <c r="C86" i="3"/>
  <c r="N85" i="3"/>
  <c r="N427" i="3" s="1"/>
  <c r="M85" i="3"/>
  <c r="M427" i="3" s="1"/>
  <c r="L85" i="3"/>
  <c r="L427" i="3" s="1"/>
  <c r="O427" i="3" s="1"/>
  <c r="J85" i="3"/>
  <c r="J427" i="3" s="1"/>
  <c r="I85" i="3"/>
  <c r="I427" i="3" s="1"/>
  <c r="H85" i="3"/>
  <c r="H427" i="3" s="1"/>
  <c r="K427" i="3" s="1"/>
  <c r="F85" i="3"/>
  <c r="F427" i="3" s="1"/>
  <c r="E85" i="3"/>
  <c r="E427" i="3" s="1"/>
  <c r="D85" i="3"/>
  <c r="D427" i="3" s="1"/>
  <c r="C85" i="3"/>
  <c r="C427" i="3" s="1"/>
  <c r="N84" i="3"/>
  <c r="M84" i="3"/>
  <c r="L84" i="3"/>
  <c r="J84" i="3"/>
  <c r="I84" i="3"/>
  <c r="H84" i="3"/>
  <c r="F84" i="3"/>
  <c r="E84" i="3"/>
  <c r="D84" i="3"/>
  <c r="C84" i="3"/>
  <c r="N83" i="3"/>
  <c r="N425" i="3" s="1"/>
  <c r="M83" i="3"/>
  <c r="M425" i="3" s="1"/>
  <c r="L83" i="3"/>
  <c r="L425" i="3" s="1"/>
  <c r="O425" i="3" s="1"/>
  <c r="J83" i="3"/>
  <c r="J425" i="3" s="1"/>
  <c r="I83" i="3"/>
  <c r="I425" i="3" s="1"/>
  <c r="H83" i="3"/>
  <c r="H425" i="3" s="1"/>
  <c r="K425" i="3" s="1"/>
  <c r="F83" i="3"/>
  <c r="F425" i="3" s="1"/>
  <c r="E83" i="3"/>
  <c r="E425" i="3" s="1"/>
  <c r="D83" i="3"/>
  <c r="D425" i="3" s="1"/>
  <c r="C83" i="3"/>
  <c r="C425" i="3" s="1"/>
  <c r="N82" i="3"/>
  <c r="N424" i="3" s="1"/>
  <c r="M82" i="3"/>
  <c r="L82" i="3"/>
  <c r="L424" i="3" s="1"/>
  <c r="J82" i="3"/>
  <c r="J424" i="3" s="1"/>
  <c r="I82" i="3"/>
  <c r="H82" i="3"/>
  <c r="H424" i="3" s="1"/>
  <c r="F82" i="3"/>
  <c r="F424" i="3" s="1"/>
  <c r="E82" i="3"/>
  <c r="D82" i="3"/>
  <c r="D424" i="3" s="1"/>
  <c r="C82" i="3"/>
  <c r="N81" i="3"/>
  <c r="N423" i="3" s="1"/>
  <c r="M81" i="3"/>
  <c r="M423" i="3" s="1"/>
  <c r="L81" i="3"/>
  <c r="L423" i="3" s="1"/>
  <c r="O423" i="3" s="1"/>
  <c r="J81" i="3"/>
  <c r="J423" i="3" s="1"/>
  <c r="I81" i="3"/>
  <c r="I423" i="3" s="1"/>
  <c r="H81" i="3"/>
  <c r="H423" i="3" s="1"/>
  <c r="K423" i="3" s="1"/>
  <c r="F81" i="3"/>
  <c r="F423" i="3" s="1"/>
  <c r="E81" i="3"/>
  <c r="E423" i="3" s="1"/>
  <c r="D81" i="3"/>
  <c r="D423" i="3" s="1"/>
  <c r="C81" i="3"/>
  <c r="C423" i="3" s="1"/>
  <c r="N80" i="3"/>
  <c r="N422" i="3" s="1"/>
  <c r="M80" i="3"/>
  <c r="L80" i="3"/>
  <c r="J80" i="3"/>
  <c r="J422" i="3" s="1"/>
  <c r="I80" i="3"/>
  <c r="H80" i="3"/>
  <c r="F80" i="3"/>
  <c r="F422" i="3" s="1"/>
  <c r="E80" i="3"/>
  <c r="D80" i="3"/>
  <c r="C80" i="3"/>
  <c r="N74" i="3"/>
  <c r="M74" i="3"/>
  <c r="L74" i="3"/>
  <c r="J74" i="3"/>
  <c r="I74" i="3"/>
  <c r="H74" i="3"/>
  <c r="F74" i="3"/>
  <c r="E74" i="3"/>
  <c r="D74" i="3"/>
  <c r="O73" i="3"/>
  <c r="K73" i="3"/>
  <c r="G73" i="3"/>
  <c r="R73" i="3" s="1"/>
  <c r="C73" i="3"/>
  <c r="C74" i="3" s="1"/>
  <c r="O72" i="3"/>
  <c r="K72" i="3"/>
  <c r="G72" i="3"/>
  <c r="R72" i="3" s="1"/>
  <c r="O71" i="3"/>
  <c r="K71" i="3"/>
  <c r="G71" i="3"/>
  <c r="R71" i="3" s="1"/>
  <c r="O70" i="3"/>
  <c r="K70" i="3"/>
  <c r="G70" i="3"/>
  <c r="R70" i="3" s="1"/>
  <c r="O69" i="3"/>
  <c r="K69" i="3"/>
  <c r="G69" i="3"/>
  <c r="R69" i="3" s="1"/>
  <c r="O68" i="3"/>
  <c r="K68" i="3"/>
  <c r="G68" i="3"/>
  <c r="R68" i="3" s="1"/>
  <c r="O67" i="3"/>
  <c r="K67" i="3"/>
  <c r="G67" i="3"/>
  <c r="R67" i="3" s="1"/>
  <c r="O66" i="3"/>
  <c r="K66" i="3"/>
  <c r="G66" i="3"/>
  <c r="R66" i="3" s="1"/>
  <c r="O65" i="3"/>
  <c r="K65" i="3"/>
  <c r="G65" i="3"/>
  <c r="R65" i="3" s="1"/>
  <c r="O64" i="3"/>
  <c r="K64" i="3"/>
  <c r="G64" i="3"/>
  <c r="R64" i="3" s="1"/>
  <c r="O63" i="3"/>
  <c r="K63" i="3"/>
  <c r="G63" i="3"/>
  <c r="R63" i="3" s="1"/>
  <c r="O62" i="3"/>
  <c r="K62" i="3"/>
  <c r="G62" i="3"/>
  <c r="R62" i="3" s="1"/>
  <c r="O61" i="3"/>
  <c r="K61" i="3"/>
  <c r="G61" i="3"/>
  <c r="R61" i="3" s="1"/>
  <c r="O60" i="3"/>
  <c r="K60" i="3"/>
  <c r="G60" i="3"/>
  <c r="R60" i="3" s="1"/>
  <c r="O59" i="3"/>
  <c r="K59" i="3"/>
  <c r="G59" i="3"/>
  <c r="R59" i="3" s="1"/>
  <c r="O58" i="3"/>
  <c r="K58" i="3"/>
  <c r="G58" i="3"/>
  <c r="R58" i="3" s="1"/>
  <c r="O57" i="3"/>
  <c r="K57" i="3"/>
  <c r="G57" i="3"/>
  <c r="R57" i="3" s="1"/>
  <c r="O56" i="3"/>
  <c r="O74" i="3" s="1"/>
  <c r="K56" i="3"/>
  <c r="K74" i="3" s="1"/>
  <c r="G56" i="3"/>
  <c r="G74" i="3" s="1"/>
  <c r="R74" i="3" s="1"/>
  <c r="N50" i="3"/>
  <c r="M50" i="3"/>
  <c r="L50" i="3"/>
  <c r="J50" i="3"/>
  <c r="I50" i="3"/>
  <c r="H50" i="3"/>
  <c r="F50" i="3"/>
  <c r="E50" i="3"/>
  <c r="D50" i="3"/>
  <c r="O49" i="3"/>
  <c r="K49" i="3"/>
  <c r="G49" i="3"/>
  <c r="R49" i="3" s="1"/>
  <c r="C49" i="3"/>
  <c r="C50" i="3" s="1"/>
  <c r="O48" i="3"/>
  <c r="K48" i="3"/>
  <c r="G48" i="3"/>
  <c r="R48" i="3" s="1"/>
  <c r="O47" i="3"/>
  <c r="K47" i="3"/>
  <c r="G47" i="3"/>
  <c r="R47" i="3" s="1"/>
  <c r="O46" i="3"/>
  <c r="K46" i="3"/>
  <c r="G46" i="3"/>
  <c r="R46" i="3" s="1"/>
  <c r="O45" i="3"/>
  <c r="K45" i="3"/>
  <c r="G45" i="3"/>
  <c r="R45" i="3" s="1"/>
  <c r="O44" i="3"/>
  <c r="K44" i="3"/>
  <c r="G44" i="3"/>
  <c r="R44" i="3" s="1"/>
  <c r="O43" i="3"/>
  <c r="K43" i="3"/>
  <c r="G43" i="3"/>
  <c r="R43" i="3" s="1"/>
  <c r="O42" i="3"/>
  <c r="K42" i="3"/>
  <c r="G42" i="3"/>
  <c r="R42" i="3" s="1"/>
  <c r="O41" i="3"/>
  <c r="K41" i="3"/>
  <c r="G41" i="3"/>
  <c r="R41" i="3" s="1"/>
  <c r="O40" i="3"/>
  <c r="K40" i="3"/>
  <c r="G40" i="3"/>
  <c r="R40" i="3" s="1"/>
  <c r="O39" i="3"/>
  <c r="K39" i="3"/>
  <c r="G39" i="3"/>
  <c r="R39" i="3" s="1"/>
  <c r="O38" i="3"/>
  <c r="K38" i="3"/>
  <c r="G38" i="3"/>
  <c r="R38" i="3" s="1"/>
  <c r="O37" i="3"/>
  <c r="K37" i="3"/>
  <c r="G37" i="3"/>
  <c r="R37" i="3" s="1"/>
  <c r="O36" i="3"/>
  <c r="K36" i="3"/>
  <c r="G36" i="3"/>
  <c r="R36" i="3" s="1"/>
  <c r="O35" i="3"/>
  <c r="K35" i="3"/>
  <c r="G35" i="3"/>
  <c r="R35" i="3" s="1"/>
  <c r="O34" i="3"/>
  <c r="K34" i="3"/>
  <c r="G34" i="3"/>
  <c r="R34" i="3" s="1"/>
  <c r="O33" i="3"/>
  <c r="K33" i="3"/>
  <c r="G33" i="3"/>
  <c r="R33" i="3" s="1"/>
  <c r="O32" i="3"/>
  <c r="O50" i="3" s="1"/>
  <c r="K32" i="3"/>
  <c r="K50" i="3" s="1"/>
  <c r="G32" i="3"/>
  <c r="G50" i="3" s="1"/>
  <c r="R50" i="3" s="1"/>
  <c r="N25" i="3"/>
  <c r="M25" i="3"/>
  <c r="L25" i="3"/>
  <c r="J25" i="3"/>
  <c r="I25" i="3"/>
  <c r="H25" i="3"/>
  <c r="F25" i="3"/>
  <c r="E25" i="3"/>
  <c r="D25" i="3"/>
  <c r="O24" i="3"/>
  <c r="K24" i="3"/>
  <c r="G24" i="3"/>
  <c r="R24" i="3" s="1"/>
  <c r="C24" i="3"/>
  <c r="C25" i="3" s="1"/>
  <c r="O23" i="3"/>
  <c r="K23" i="3"/>
  <c r="G23" i="3"/>
  <c r="R23" i="3" s="1"/>
  <c r="O22" i="3"/>
  <c r="K22" i="3"/>
  <c r="G22" i="3"/>
  <c r="R22" i="3" s="1"/>
  <c r="O21" i="3"/>
  <c r="K21" i="3"/>
  <c r="G21" i="3"/>
  <c r="R21" i="3" s="1"/>
  <c r="O20" i="3"/>
  <c r="K20" i="3"/>
  <c r="G20" i="3"/>
  <c r="R20" i="3" s="1"/>
  <c r="O19" i="3"/>
  <c r="K19" i="3"/>
  <c r="G19" i="3"/>
  <c r="R19" i="3" s="1"/>
  <c r="O18" i="3"/>
  <c r="K18" i="3"/>
  <c r="G18" i="3"/>
  <c r="R18" i="3" s="1"/>
  <c r="O17" i="3"/>
  <c r="K17" i="3"/>
  <c r="G17" i="3"/>
  <c r="R17" i="3" s="1"/>
  <c r="O16" i="3"/>
  <c r="K16" i="3"/>
  <c r="G16" i="3"/>
  <c r="R16" i="3" s="1"/>
  <c r="O15" i="3"/>
  <c r="K15" i="3"/>
  <c r="G15" i="3"/>
  <c r="R15" i="3" s="1"/>
  <c r="O14" i="3"/>
  <c r="K14" i="3"/>
  <c r="G14" i="3"/>
  <c r="R14" i="3" s="1"/>
  <c r="O13" i="3"/>
  <c r="K13" i="3"/>
  <c r="G13" i="3"/>
  <c r="R13" i="3" s="1"/>
  <c r="O12" i="3"/>
  <c r="K12" i="3"/>
  <c r="G12" i="3"/>
  <c r="R12" i="3" s="1"/>
  <c r="O11" i="3"/>
  <c r="K11" i="3"/>
  <c r="G11" i="3"/>
  <c r="R11" i="3" s="1"/>
  <c r="O10" i="3"/>
  <c r="K10" i="3"/>
  <c r="G10" i="3"/>
  <c r="R10" i="3" s="1"/>
  <c r="O9" i="3"/>
  <c r="K9" i="3"/>
  <c r="G9" i="3"/>
  <c r="R9" i="3" s="1"/>
  <c r="O8" i="3"/>
  <c r="K8" i="3"/>
  <c r="G8" i="3"/>
  <c r="R8" i="3" s="1"/>
  <c r="O7" i="3"/>
  <c r="O25" i="3" s="1"/>
  <c r="K7" i="3"/>
  <c r="K25" i="3" s="1"/>
  <c r="G7" i="3"/>
  <c r="G25" i="3" s="1"/>
  <c r="R25" i="3" s="1"/>
  <c r="I499" i="3" l="1"/>
  <c r="I501" i="3"/>
  <c r="I500" i="3"/>
  <c r="E497" i="3"/>
  <c r="G497" i="3"/>
  <c r="F497" i="3"/>
  <c r="G491" i="3"/>
  <c r="F491" i="3"/>
  <c r="E491" i="3"/>
  <c r="H491" i="3" s="1"/>
  <c r="I491" i="3" s="1"/>
  <c r="D485" i="3"/>
  <c r="D502" i="3" s="1"/>
  <c r="F485" i="3"/>
  <c r="F502" i="3" s="1"/>
  <c r="E485" i="3"/>
  <c r="G485" i="3"/>
  <c r="C218" i="3"/>
  <c r="N218" i="3"/>
  <c r="M218" i="3"/>
  <c r="L218" i="3"/>
  <c r="J218" i="3"/>
  <c r="I218" i="3"/>
  <c r="H218" i="3"/>
  <c r="F218" i="3"/>
  <c r="E218" i="3"/>
  <c r="D218" i="3"/>
  <c r="R7" i="3"/>
  <c r="R32" i="3"/>
  <c r="R56" i="3"/>
  <c r="G80" i="3"/>
  <c r="K80" i="3"/>
  <c r="O80" i="3"/>
  <c r="G423" i="3"/>
  <c r="R423" i="3" s="1"/>
  <c r="G81" i="3"/>
  <c r="K81" i="3"/>
  <c r="O81" i="3"/>
  <c r="G82" i="3"/>
  <c r="K82" i="3"/>
  <c r="O82" i="3"/>
  <c r="G425" i="3"/>
  <c r="R425" i="3" s="1"/>
  <c r="G83" i="3"/>
  <c r="K83" i="3"/>
  <c r="O83" i="3"/>
  <c r="G84" i="3"/>
  <c r="K84" i="3"/>
  <c r="O84" i="3"/>
  <c r="G427" i="3"/>
  <c r="R427" i="3" s="1"/>
  <c r="G85" i="3"/>
  <c r="K85" i="3"/>
  <c r="O85" i="3"/>
  <c r="G86" i="3"/>
  <c r="K86" i="3"/>
  <c r="O86" i="3"/>
  <c r="G87" i="3"/>
  <c r="K87" i="3"/>
  <c r="O87" i="3"/>
  <c r="G430" i="3"/>
  <c r="R430" i="3" s="1"/>
  <c r="G88" i="3"/>
  <c r="K88" i="3"/>
  <c r="O88" i="3"/>
  <c r="G431" i="3"/>
  <c r="R431" i="3" s="1"/>
  <c r="G89" i="3"/>
  <c r="K89" i="3"/>
  <c r="O89" i="3"/>
  <c r="G90" i="3"/>
  <c r="K90" i="3"/>
  <c r="O90" i="3"/>
  <c r="G91" i="3"/>
  <c r="K91" i="3"/>
  <c r="O91" i="3"/>
  <c r="G92" i="3"/>
  <c r="K92" i="3"/>
  <c r="O92" i="3"/>
  <c r="G93" i="3"/>
  <c r="K93" i="3"/>
  <c r="O93" i="3"/>
  <c r="G436" i="3"/>
  <c r="R436" i="3" s="1"/>
  <c r="G94" i="3"/>
  <c r="K94" i="3"/>
  <c r="O94" i="3"/>
  <c r="G437" i="3"/>
  <c r="R437" i="3" s="1"/>
  <c r="G95" i="3"/>
  <c r="K95" i="3"/>
  <c r="O95" i="3"/>
  <c r="G438" i="3"/>
  <c r="R438" i="3" s="1"/>
  <c r="G96" i="3"/>
  <c r="K96" i="3"/>
  <c r="O96" i="3"/>
  <c r="G439" i="3"/>
  <c r="R439" i="3" s="1"/>
  <c r="G97" i="3"/>
  <c r="K97" i="3"/>
  <c r="O97" i="3"/>
  <c r="C98" i="3"/>
  <c r="D98" i="3"/>
  <c r="E98" i="3"/>
  <c r="F98" i="3"/>
  <c r="H98" i="3"/>
  <c r="I98" i="3"/>
  <c r="J98" i="3"/>
  <c r="L98" i="3"/>
  <c r="M98" i="3"/>
  <c r="N98" i="3"/>
  <c r="R104" i="3"/>
  <c r="C194" i="3"/>
  <c r="C122" i="3"/>
  <c r="R128" i="3"/>
  <c r="R152" i="3"/>
  <c r="G176" i="3"/>
  <c r="K176" i="3"/>
  <c r="K194" i="3" s="1"/>
  <c r="O176" i="3"/>
  <c r="O194" i="3" s="1"/>
  <c r="D414" i="3"/>
  <c r="G396" i="3"/>
  <c r="G200" i="3"/>
  <c r="H414" i="3"/>
  <c r="K396" i="3"/>
  <c r="K200" i="3"/>
  <c r="L414" i="3"/>
  <c r="O396" i="3"/>
  <c r="O200" i="3"/>
  <c r="G202" i="3"/>
  <c r="K202" i="3"/>
  <c r="O202" i="3"/>
  <c r="G204" i="3"/>
  <c r="K204" i="3"/>
  <c r="O204" i="3"/>
  <c r="G206" i="3"/>
  <c r="K206" i="3"/>
  <c r="O206" i="3"/>
  <c r="G207" i="3"/>
  <c r="K207" i="3"/>
  <c r="O207" i="3"/>
  <c r="G218" i="3"/>
  <c r="K210" i="3"/>
  <c r="O210" i="3"/>
  <c r="O218" i="3" s="1"/>
  <c r="G211" i="3"/>
  <c r="K211" i="3"/>
  <c r="O211" i="3"/>
  <c r="G212" i="3"/>
  <c r="K212" i="3"/>
  <c r="O212" i="3"/>
  <c r="G213" i="3"/>
  <c r="K213" i="3"/>
  <c r="O213" i="3"/>
  <c r="G224" i="3"/>
  <c r="K224" i="3"/>
  <c r="O224" i="3"/>
  <c r="G226" i="3"/>
  <c r="K226" i="3"/>
  <c r="O226" i="3"/>
  <c r="G228" i="3"/>
  <c r="R228" i="3" s="1"/>
  <c r="G230" i="3"/>
  <c r="R230" i="3" s="1"/>
  <c r="G231" i="3"/>
  <c r="R231" i="3" s="1"/>
  <c r="G234" i="3"/>
  <c r="R234" i="3" s="1"/>
  <c r="G235" i="3"/>
  <c r="R235" i="3" s="1"/>
  <c r="G236" i="3"/>
  <c r="R236" i="3" s="1"/>
  <c r="G237" i="3"/>
  <c r="R237" i="3" s="1"/>
  <c r="C242" i="3"/>
  <c r="D242" i="3"/>
  <c r="E242" i="3"/>
  <c r="H242" i="3"/>
  <c r="I242" i="3"/>
  <c r="L242" i="3"/>
  <c r="M242" i="3"/>
  <c r="G249" i="3"/>
  <c r="K249" i="3"/>
  <c r="K267" i="3" s="1"/>
  <c r="O249" i="3"/>
  <c r="O267" i="3" s="1"/>
  <c r="G251" i="3"/>
  <c r="R251" i="3" s="1"/>
  <c r="G253" i="3"/>
  <c r="R253" i="3" s="1"/>
  <c r="G255" i="3"/>
  <c r="R255" i="3" s="1"/>
  <c r="G256" i="3"/>
  <c r="R256" i="3" s="1"/>
  <c r="G259" i="3"/>
  <c r="R259" i="3" s="1"/>
  <c r="G260" i="3"/>
  <c r="R260" i="3" s="1"/>
  <c r="G261" i="3"/>
  <c r="R261" i="3" s="1"/>
  <c r="G262" i="3"/>
  <c r="R262" i="3" s="1"/>
  <c r="C273" i="3"/>
  <c r="D273" i="3"/>
  <c r="E273" i="3"/>
  <c r="H273" i="3"/>
  <c r="I273" i="3"/>
  <c r="L273" i="3"/>
  <c r="M273" i="3"/>
  <c r="G274" i="3"/>
  <c r="R274" i="3" s="1"/>
  <c r="C275" i="3"/>
  <c r="C424" i="3" s="1"/>
  <c r="E275" i="3"/>
  <c r="G275" i="3"/>
  <c r="I275" i="3"/>
  <c r="I424" i="3" s="1"/>
  <c r="K424" i="3" s="1"/>
  <c r="M275" i="3"/>
  <c r="M424" i="3" s="1"/>
  <c r="O424" i="3" s="1"/>
  <c r="G276" i="3"/>
  <c r="R276" i="3" s="1"/>
  <c r="C277" i="3"/>
  <c r="C426" i="3" s="1"/>
  <c r="D277" i="3"/>
  <c r="E277" i="3"/>
  <c r="F277" i="3"/>
  <c r="H277" i="3"/>
  <c r="I277" i="3"/>
  <c r="I426" i="3" s="1"/>
  <c r="J277" i="3"/>
  <c r="J426" i="3" s="1"/>
  <c r="L277" i="3"/>
  <c r="M277" i="3"/>
  <c r="M426" i="3" s="1"/>
  <c r="N277" i="3"/>
  <c r="N426" i="3" s="1"/>
  <c r="G278" i="3"/>
  <c r="R278" i="3" s="1"/>
  <c r="C279" i="3"/>
  <c r="C428" i="3" s="1"/>
  <c r="D279" i="3"/>
  <c r="E279" i="3"/>
  <c r="F279" i="3"/>
  <c r="H279" i="3"/>
  <c r="I279" i="3"/>
  <c r="I428" i="3" s="1"/>
  <c r="J279" i="3"/>
  <c r="J428" i="3" s="1"/>
  <c r="L279" i="3"/>
  <c r="M279" i="3"/>
  <c r="M428" i="3" s="1"/>
  <c r="N279" i="3"/>
  <c r="N428" i="3" s="1"/>
  <c r="C280" i="3"/>
  <c r="C429" i="3" s="1"/>
  <c r="D280" i="3"/>
  <c r="E280" i="3"/>
  <c r="H280" i="3"/>
  <c r="I280" i="3"/>
  <c r="I429" i="3" s="1"/>
  <c r="L280" i="3"/>
  <c r="M280" i="3"/>
  <c r="M429" i="3" s="1"/>
  <c r="G281" i="3"/>
  <c r="R281" i="3" s="1"/>
  <c r="G282" i="3"/>
  <c r="R282" i="3" s="1"/>
  <c r="C283" i="3"/>
  <c r="C432" i="3" s="1"/>
  <c r="C474" i="3" s="1"/>
  <c r="D283" i="3"/>
  <c r="E283" i="3"/>
  <c r="F283" i="3"/>
  <c r="H283" i="3"/>
  <c r="I283" i="3"/>
  <c r="I432" i="3" s="1"/>
  <c r="J283" i="3"/>
  <c r="J432" i="3" s="1"/>
  <c r="L283" i="3"/>
  <c r="M283" i="3"/>
  <c r="M432" i="3" s="1"/>
  <c r="N283" i="3"/>
  <c r="N432" i="3" s="1"/>
  <c r="C284" i="3"/>
  <c r="C433" i="3" s="1"/>
  <c r="D284" i="3"/>
  <c r="E284" i="3"/>
  <c r="F284" i="3"/>
  <c r="H284" i="3"/>
  <c r="I284" i="3"/>
  <c r="I433" i="3" s="1"/>
  <c r="J284" i="3"/>
  <c r="J433" i="3" s="1"/>
  <c r="L284" i="3"/>
  <c r="M284" i="3"/>
  <c r="M433" i="3" s="1"/>
  <c r="N284" i="3"/>
  <c r="N433" i="3" s="1"/>
  <c r="C285" i="3"/>
  <c r="C434" i="3" s="1"/>
  <c r="D285" i="3"/>
  <c r="E285" i="3"/>
  <c r="F285" i="3"/>
  <c r="H285" i="3"/>
  <c r="I285" i="3"/>
  <c r="I434" i="3" s="1"/>
  <c r="J285" i="3"/>
  <c r="J434" i="3" s="1"/>
  <c r="L285" i="3"/>
  <c r="M285" i="3"/>
  <c r="M434" i="3" s="1"/>
  <c r="N285" i="3"/>
  <c r="N434" i="3" s="1"/>
  <c r="C286" i="3"/>
  <c r="C435" i="3" s="1"/>
  <c r="D286" i="3"/>
  <c r="E286" i="3"/>
  <c r="F286" i="3"/>
  <c r="H286" i="3"/>
  <c r="I286" i="3"/>
  <c r="I435" i="3" s="1"/>
  <c r="J286" i="3"/>
  <c r="J435" i="3" s="1"/>
  <c r="L286" i="3"/>
  <c r="M286" i="3"/>
  <c r="M435" i="3" s="1"/>
  <c r="N286" i="3"/>
  <c r="N435" i="3" s="1"/>
  <c r="G287" i="3"/>
  <c r="R287" i="3" s="1"/>
  <c r="G288" i="3"/>
  <c r="R288" i="3" s="1"/>
  <c r="G289" i="3"/>
  <c r="R289" i="3" s="1"/>
  <c r="G290" i="3"/>
  <c r="R290" i="3" s="1"/>
  <c r="D389" i="3"/>
  <c r="G371" i="3"/>
  <c r="E389" i="3"/>
  <c r="G298" i="3"/>
  <c r="H389" i="3"/>
  <c r="K371" i="3"/>
  <c r="K298" i="3"/>
  <c r="L389" i="3"/>
  <c r="O371" i="3"/>
  <c r="O298" i="3"/>
  <c r="G300" i="3"/>
  <c r="K300" i="3"/>
  <c r="O300" i="3"/>
  <c r="G375" i="3"/>
  <c r="R375" i="3" s="1"/>
  <c r="G302" i="3"/>
  <c r="K302" i="3"/>
  <c r="O302" i="3"/>
  <c r="G377" i="3"/>
  <c r="R377" i="3" s="1"/>
  <c r="G304" i="3"/>
  <c r="K304" i="3"/>
  <c r="O304" i="3"/>
  <c r="F403" i="3"/>
  <c r="G403" i="3" s="1"/>
  <c r="F378" i="3"/>
  <c r="G305" i="3"/>
  <c r="J403" i="3"/>
  <c r="K403" i="3" s="1"/>
  <c r="J378" i="3"/>
  <c r="J429" i="3" s="1"/>
  <c r="K305" i="3"/>
  <c r="N403" i="3"/>
  <c r="O403" i="3" s="1"/>
  <c r="N378" i="3"/>
  <c r="N429" i="3" s="1"/>
  <c r="O305" i="3"/>
  <c r="G381" i="3"/>
  <c r="R381" i="3" s="1"/>
  <c r="G308" i="3"/>
  <c r="K308" i="3"/>
  <c r="O308" i="3"/>
  <c r="G382" i="3"/>
  <c r="R382" i="3" s="1"/>
  <c r="G309" i="3"/>
  <c r="K309" i="3"/>
  <c r="O309" i="3"/>
  <c r="G383" i="3"/>
  <c r="R383" i="3" s="1"/>
  <c r="G310" i="3"/>
  <c r="K310" i="3"/>
  <c r="O310" i="3"/>
  <c r="G384" i="3"/>
  <c r="R384" i="3" s="1"/>
  <c r="G311" i="3"/>
  <c r="K311" i="3"/>
  <c r="O311" i="3"/>
  <c r="C316" i="3"/>
  <c r="D316" i="3"/>
  <c r="E316" i="3"/>
  <c r="F316" i="3"/>
  <c r="H316" i="3"/>
  <c r="I316" i="3"/>
  <c r="J316" i="3"/>
  <c r="L316" i="3"/>
  <c r="M316" i="3"/>
  <c r="N316" i="3"/>
  <c r="C411" i="3"/>
  <c r="C340" i="3"/>
  <c r="D411" i="3"/>
  <c r="D340" i="3"/>
  <c r="E411" i="3"/>
  <c r="E340" i="3"/>
  <c r="G322" i="3"/>
  <c r="H411" i="3"/>
  <c r="H340" i="3"/>
  <c r="I411" i="3"/>
  <c r="I340" i="3"/>
  <c r="K322" i="3"/>
  <c r="L411" i="3"/>
  <c r="L340" i="3"/>
  <c r="M411" i="3"/>
  <c r="M340" i="3"/>
  <c r="O322" i="3"/>
  <c r="G324" i="3"/>
  <c r="K324" i="3"/>
  <c r="O324" i="3"/>
  <c r="G326" i="3"/>
  <c r="R326" i="3" s="1"/>
  <c r="G328" i="3"/>
  <c r="R328" i="3" s="1"/>
  <c r="G329" i="3"/>
  <c r="R329" i="3" s="1"/>
  <c r="G332" i="3"/>
  <c r="R332" i="3" s="1"/>
  <c r="G333" i="3"/>
  <c r="R333" i="3" s="1"/>
  <c r="G334" i="3"/>
  <c r="R334" i="3" s="1"/>
  <c r="G335" i="3"/>
  <c r="R335" i="3" s="1"/>
  <c r="F389" i="3"/>
  <c r="J389" i="3"/>
  <c r="N389" i="3"/>
  <c r="K373" i="3"/>
  <c r="O373" i="3"/>
  <c r="G398" i="3"/>
  <c r="K398" i="3"/>
  <c r="O398" i="3"/>
  <c r="G347" i="3"/>
  <c r="K347" i="3"/>
  <c r="K365" i="3" s="1"/>
  <c r="O347" i="3"/>
  <c r="O365" i="3" s="1"/>
  <c r="G349" i="3"/>
  <c r="R349" i="3" s="1"/>
  <c r="G351" i="3"/>
  <c r="R351" i="3" s="1"/>
  <c r="G353" i="3"/>
  <c r="R353" i="3" s="1"/>
  <c r="G354" i="3"/>
  <c r="R354" i="3" s="1"/>
  <c r="G357" i="3"/>
  <c r="R357" i="3" s="1"/>
  <c r="G358" i="3"/>
  <c r="R358" i="3" s="1"/>
  <c r="G359" i="3"/>
  <c r="R359" i="3" s="1"/>
  <c r="G360" i="3"/>
  <c r="R360" i="3" s="1"/>
  <c r="G372" i="3"/>
  <c r="R372" i="3" s="1"/>
  <c r="G373" i="3"/>
  <c r="R373" i="3" s="1"/>
  <c r="G374" i="3"/>
  <c r="R374" i="3" s="1"/>
  <c r="G376" i="3"/>
  <c r="R376" i="3" s="1"/>
  <c r="G379" i="3"/>
  <c r="R379" i="3" s="1"/>
  <c r="G380" i="3"/>
  <c r="R380" i="3" s="1"/>
  <c r="G385" i="3"/>
  <c r="R385" i="3" s="1"/>
  <c r="G386" i="3"/>
  <c r="R386" i="3" s="1"/>
  <c r="G387" i="3"/>
  <c r="R387" i="3" s="1"/>
  <c r="G388" i="3"/>
  <c r="R388" i="3" s="1"/>
  <c r="F414" i="3"/>
  <c r="J414" i="3"/>
  <c r="N414" i="3"/>
  <c r="G412" i="3"/>
  <c r="K412" i="3"/>
  <c r="O412" i="3"/>
  <c r="G413" i="3"/>
  <c r="K413" i="3"/>
  <c r="O413" i="3"/>
  <c r="C140" i="5"/>
  <c r="D140" i="5"/>
  <c r="B140" i="5"/>
  <c r="E132" i="5"/>
  <c r="F132" i="5" s="1"/>
  <c r="E133" i="5"/>
  <c r="F133" i="5" s="1"/>
  <c r="E134" i="5"/>
  <c r="F134" i="5" s="1"/>
  <c r="E135" i="5"/>
  <c r="F135" i="5" s="1"/>
  <c r="E136" i="5"/>
  <c r="F136" i="5" s="1"/>
  <c r="E137" i="5"/>
  <c r="F137" i="5" s="1"/>
  <c r="E138" i="5"/>
  <c r="F138" i="5" s="1"/>
  <c r="E139" i="5"/>
  <c r="F139" i="5" s="1"/>
  <c r="E131" i="5"/>
  <c r="F131" i="5" s="1"/>
  <c r="E502" i="3" l="1"/>
  <c r="H485" i="3"/>
  <c r="I485" i="3" s="1"/>
  <c r="G502" i="3"/>
  <c r="K218" i="3"/>
  <c r="R210" i="3"/>
  <c r="H497" i="3"/>
  <c r="I497" i="3" s="1"/>
  <c r="H502" i="3"/>
  <c r="I502" i="3" s="1"/>
  <c r="R403" i="3"/>
  <c r="N440" i="3"/>
  <c r="J440" i="3"/>
  <c r="R413" i="3"/>
  <c r="R412" i="3"/>
  <c r="G365" i="3"/>
  <c r="R365" i="3" s="1"/>
  <c r="R347" i="3"/>
  <c r="R398" i="3"/>
  <c r="R324" i="3"/>
  <c r="O340" i="3"/>
  <c r="O411" i="3"/>
  <c r="K340" i="3"/>
  <c r="K411" i="3"/>
  <c r="G340" i="3"/>
  <c r="R340" i="3" s="1"/>
  <c r="R322" i="3"/>
  <c r="G411" i="3"/>
  <c r="R411" i="3" s="1"/>
  <c r="R311" i="3"/>
  <c r="R310" i="3"/>
  <c r="R309" i="3"/>
  <c r="R308" i="3"/>
  <c r="O378" i="3"/>
  <c r="K378" i="3"/>
  <c r="R305" i="3"/>
  <c r="G378" i="3"/>
  <c r="R378" i="3" s="1"/>
  <c r="R304" i="3"/>
  <c r="R302" i="3"/>
  <c r="R300" i="3"/>
  <c r="O316" i="3"/>
  <c r="O389" i="3"/>
  <c r="K316" i="3"/>
  <c r="K389" i="3"/>
  <c r="G316" i="3"/>
  <c r="R316" i="3" s="1"/>
  <c r="R298" i="3"/>
  <c r="G389" i="3"/>
  <c r="R389" i="3" s="1"/>
  <c r="R371" i="3"/>
  <c r="O286" i="3"/>
  <c r="K286" i="3"/>
  <c r="G286" i="3"/>
  <c r="R286" i="3" s="1"/>
  <c r="O285" i="3"/>
  <c r="K285" i="3"/>
  <c r="G285" i="3"/>
  <c r="R285" i="3" s="1"/>
  <c r="O284" i="3"/>
  <c r="K284" i="3"/>
  <c r="G284" i="3"/>
  <c r="R284" i="3" s="1"/>
  <c r="O283" i="3"/>
  <c r="K283" i="3"/>
  <c r="G283" i="3"/>
  <c r="R283" i="3" s="1"/>
  <c r="O280" i="3"/>
  <c r="K280" i="3"/>
  <c r="G280" i="3"/>
  <c r="R280" i="3" s="1"/>
  <c r="O279" i="3"/>
  <c r="K279" i="3"/>
  <c r="G279" i="3"/>
  <c r="R279" i="3" s="1"/>
  <c r="O277" i="3"/>
  <c r="K277" i="3"/>
  <c r="G277" i="3"/>
  <c r="R277" i="3" s="1"/>
  <c r="M291" i="3"/>
  <c r="L291" i="3"/>
  <c r="O273" i="3"/>
  <c r="I291" i="3"/>
  <c r="H291" i="3"/>
  <c r="K273" i="3"/>
  <c r="E291" i="3"/>
  <c r="D291" i="3"/>
  <c r="G273" i="3"/>
  <c r="C291" i="3"/>
  <c r="G267" i="3"/>
  <c r="R267" i="3" s="1"/>
  <c r="R249" i="3"/>
  <c r="R226" i="3"/>
  <c r="O242" i="3"/>
  <c r="K242" i="3"/>
  <c r="G242" i="3"/>
  <c r="R242" i="3" s="1"/>
  <c r="R224" i="3"/>
  <c r="R213" i="3"/>
  <c r="R212" i="3"/>
  <c r="R211" i="3"/>
  <c r="R207" i="3"/>
  <c r="R206" i="3"/>
  <c r="R204" i="3"/>
  <c r="R202" i="3"/>
  <c r="O414" i="3"/>
  <c r="K414" i="3"/>
  <c r="R218" i="3"/>
  <c r="R200" i="3"/>
  <c r="G414" i="3"/>
  <c r="R414" i="3" s="1"/>
  <c r="R396" i="3"/>
  <c r="G194" i="3"/>
  <c r="R194" i="3" s="1"/>
  <c r="R176" i="3"/>
  <c r="O275" i="3"/>
  <c r="K275" i="3"/>
  <c r="R275" i="3" s="1"/>
  <c r="N291" i="3"/>
  <c r="J291" i="3"/>
  <c r="F291" i="3"/>
  <c r="R97" i="3"/>
  <c r="R96" i="3"/>
  <c r="R95" i="3"/>
  <c r="R94" i="3"/>
  <c r="L435" i="3"/>
  <c r="O435" i="3" s="1"/>
  <c r="H435" i="3"/>
  <c r="K435" i="3" s="1"/>
  <c r="R93" i="3"/>
  <c r="F435" i="3"/>
  <c r="E435" i="3"/>
  <c r="D435" i="3"/>
  <c r="L434" i="3"/>
  <c r="O434" i="3" s="1"/>
  <c r="H434" i="3"/>
  <c r="K434" i="3" s="1"/>
  <c r="R92" i="3"/>
  <c r="F434" i="3"/>
  <c r="E434" i="3"/>
  <c r="D434" i="3"/>
  <c r="L433" i="3"/>
  <c r="O433" i="3" s="1"/>
  <c r="H433" i="3"/>
  <c r="K433" i="3" s="1"/>
  <c r="R91" i="3"/>
  <c r="F433" i="3"/>
  <c r="E433" i="3"/>
  <c r="D433" i="3"/>
  <c r="L432" i="3"/>
  <c r="O432" i="3" s="1"/>
  <c r="H432" i="3"/>
  <c r="K432" i="3" s="1"/>
  <c r="R90" i="3"/>
  <c r="F432" i="3"/>
  <c r="F474" i="3" s="1"/>
  <c r="E432" i="3"/>
  <c r="E474" i="3" s="1"/>
  <c r="D432" i="3"/>
  <c r="D474" i="3" s="1"/>
  <c r="R89" i="3"/>
  <c r="R88" i="3"/>
  <c r="L429" i="3"/>
  <c r="O429" i="3" s="1"/>
  <c r="H429" i="3"/>
  <c r="K429" i="3" s="1"/>
  <c r="R87" i="3"/>
  <c r="F429" i="3"/>
  <c r="E429" i="3"/>
  <c r="D429" i="3"/>
  <c r="L428" i="3"/>
  <c r="O428" i="3" s="1"/>
  <c r="H428" i="3"/>
  <c r="K428" i="3" s="1"/>
  <c r="R86" i="3"/>
  <c r="F428" i="3"/>
  <c r="E428" i="3"/>
  <c r="D428" i="3"/>
  <c r="R85" i="3"/>
  <c r="L426" i="3"/>
  <c r="O426" i="3" s="1"/>
  <c r="H426" i="3"/>
  <c r="K426" i="3" s="1"/>
  <c r="R84" i="3"/>
  <c r="F426" i="3"/>
  <c r="E426" i="3"/>
  <c r="D426" i="3"/>
  <c r="R83" i="3"/>
  <c r="R82" i="3"/>
  <c r="E424" i="3"/>
  <c r="R81" i="3"/>
  <c r="O98" i="3"/>
  <c r="M422" i="3"/>
  <c r="M440" i="3" s="1"/>
  <c r="L422" i="3"/>
  <c r="K98" i="3"/>
  <c r="I422" i="3"/>
  <c r="I440" i="3" s="1"/>
  <c r="H422" i="3"/>
  <c r="G98" i="3"/>
  <c r="R98" i="3" s="1"/>
  <c r="R80" i="3"/>
  <c r="E422" i="3"/>
  <c r="D422" i="3"/>
  <c r="C422" i="3"/>
  <c r="C440" i="3" s="1"/>
  <c r="E140" i="5"/>
  <c r="D440" i="3" l="1"/>
  <c r="G422" i="3"/>
  <c r="E440" i="3"/>
  <c r="H440" i="3"/>
  <c r="K422" i="3"/>
  <c r="K440" i="3" s="1"/>
  <c r="L440" i="3"/>
  <c r="O422" i="3"/>
  <c r="O440" i="3" s="1"/>
  <c r="G424" i="3"/>
  <c r="R424" i="3" s="1"/>
  <c r="G426" i="3"/>
  <c r="R426" i="3" s="1"/>
  <c r="F440" i="3"/>
  <c r="G428" i="3"/>
  <c r="R428" i="3" s="1"/>
  <c r="G429" i="3"/>
  <c r="R429" i="3" s="1"/>
  <c r="G432" i="3"/>
  <c r="G433" i="3"/>
  <c r="R433" i="3" s="1"/>
  <c r="G434" i="3"/>
  <c r="R434" i="3" s="1"/>
  <c r="G435" i="3"/>
  <c r="R435" i="3" s="1"/>
  <c r="G291" i="3"/>
  <c r="R273" i="3"/>
  <c r="K291" i="3"/>
  <c r="O291" i="3"/>
  <c r="R432" i="3" l="1"/>
  <c r="G473" i="3"/>
  <c r="R291" i="3"/>
  <c r="F443" i="3"/>
  <c r="E443" i="3"/>
  <c r="G440" i="3"/>
  <c r="R422" i="3"/>
  <c r="D443" i="3"/>
  <c r="C443" i="3" s="1"/>
  <c r="N413" i="7"/>
  <c r="L413" i="7"/>
  <c r="J413" i="7"/>
  <c r="H413" i="7"/>
  <c r="F413" i="7"/>
  <c r="D413" i="7"/>
  <c r="N411" i="7"/>
  <c r="J411" i="7"/>
  <c r="F411" i="7"/>
  <c r="N410" i="7"/>
  <c r="J410" i="7"/>
  <c r="F410" i="7"/>
  <c r="N405" i="7"/>
  <c r="M405" i="7"/>
  <c r="L405" i="7"/>
  <c r="O405" i="7" s="1"/>
  <c r="J405" i="7"/>
  <c r="I405" i="7"/>
  <c r="H405" i="7"/>
  <c r="K405" i="7" s="1"/>
  <c r="F405" i="7"/>
  <c r="E405" i="7"/>
  <c r="D405" i="7"/>
  <c r="G405" i="7" s="1"/>
  <c r="R405" i="7" s="1"/>
  <c r="C405" i="7"/>
  <c r="N404" i="7"/>
  <c r="M404" i="7"/>
  <c r="L404" i="7"/>
  <c r="O404" i="7" s="1"/>
  <c r="J404" i="7"/>
  <c r="I404" i="7"/>
  <c r="H404" i="7"/>
  <c r="K404" i="7" s="1"/>
  <c r="F404" i="7"/>
  <c r="E404" i="7"/>
  <c r="D404" i="7"/>
  <c r="G404" i="7" s="1"/>
  <c r="R404" i="7" s="1"/>
  <c r="C404" i="7"/>
  <c r="N401" i="7"/>
  <c r="M401" i="7"/>
  <c r="L401" i="7"/>
  <c r="O401" i="7" s="1"/>
  <c r="J401" i="7"/>
  <c r="I401" i="7"/>
  <c r="H401" i="7"/>
  <c r="K401" i="7" s="1"/>
  <c r="F401" i="7"/>
  <c r="E401" i="7"/>
  <c r="D401" i="7"/>
  <c r="G401" i="7" s="1"/>
  <c r="R401" i="7" s="1"/>
  <c r="C401" i="7"/>
  <c r="N399" i="7"/>
  <c r="M399" i="7"/>
  <c r="L399" i="7"/>
  <c r="O399" i="7" s="1"/>
  <c r="J399" i="7"/>
  <c r="I399" i="7"/>
  <c r="H399" i="7"/>
  <c r="K399" i="7" s="1"/>
  <c r="F399" i="7"/>
  <c r="E399" i="7"/>
  <c r="D399" i="7"/>
  <c r="G399" i="7" s="1"/>
  <c r="R399" i="7" s="1"/>
  <c r="C399" i="7"/>
  <c r="N398" i="7"/>
  <c r="L398" i="7"/>
  <c r="J398" i="7"/>
  <c r="H398" i="7"/>
  <c r="F398" i="7"/>
  <c r="D398" i="7"/>
  <c r="N397" i="7"/>
  <c r="M397" i="7"/>
  <c r="L397" i="7"/>
  <c r="O397" i="7" s="1"/>
  <c r="J397" i="7"/>
  <c r="I397" i="7"/>
  <c r="H397" i="7"/>
  <c r="K397" i="7" s="1"/>
  <c r="F397" i="7"/>
  <c r="E397" i="7"/>
  <c r="D397" i="7"/>
  <c r="G397" i="7" s="1"/>
  <c r="R397" i="7" s="1"/>
  <c r="C397" i="7"/>
  <c r="N396" i="7"/>
  <c r="J396" i="7"/>
  <c r="F396" i="7"/>
  <c r="N388" i="7"/>
  <c r="M388" i="7"/>
  <c r="L388" i="7"/>
  <c r="O388" i="7" s="1"/>
  <c r="J388" i="7"/>
  <c r="I388" i="7"/>
  <c r="H388" i="7"/>
  <c r="K388" i="7" s="1"/>
  <c r="F388" i="7"/>
  <c r="X388" i="7" s="1"/>
  <c r="E388" i="7"/>
  <c r="W388" i="7" s="1"/>
  <c r="D388" i="7"/>
  <c r="V388" i="7" s="1"/>
  <c r="Y388" i="7" s="1"/>
  <c r="N387" i="7"/>
  <c r="M387" i="7"/>
  <c r="L387" i="7"/>
  <c r="O387" i="7" s="1"/>
  <c r="J387" i="7"/>
  <c r="I387" i="7"/>
  <c r="H387" i="7"/>
  <c r="K387" i="7" s="1"/>
  <c r="F387" i="7"/>
  <c r="X387" i="7" s="1"/>
  <c r="E387" i="7"/>
  <c r="W387" i="7" s="1"/>
  <c r="D387" i="7"/>
  <c r="V387" i="7" s="1"/>
  <c r="Y387" i="7" s="1"/>
  <c r="C387" i="7"/>
  <c r="N386" i="7"/>
  <c r="M386" i="7"/>
  <c r="L386" i="7"/>
  <c r="O386" i="7" s="1"/>
  <c r="J386" i="7"/>
  <c r="I386" i="7"/>
  <c r="H386" i="7"/>
  <c r="K386" i="7" s="1"/>
  <c r="F386" i="7"/>
  <c r="X386" i="7" s="1"/>
  <c r="E386" i="7"/>
  <c r="W386" i="7" s="1"/>
  <c r="D386" i="7"/>
  <c r="V386" i="7" s="1"/>
  <c r="Y386" i="7" s="1"/>
  <c r="C386" i="7"/>
  <c r="N385" i="7"/>
  <c r="M385" i="7"/>
  <c r="L385" i="7"/>
  <c r="O385" i="7" s="1"/>
  <c r="J385" i="7"/>
  <c r="I385" i="7"/>
  <c r="H385" i="7"/>
  <c r="K385" i="7" s="1"/>
  <c r="F385" i="7"/>
  <c r="X385" i="7" s="1"/>
  <c r="E385" i="7"/>
  <c r="W385" i="7" s="1"/>
  <c r="D385" i="7"/>
  <c r="V385" i="7" s="1"/>
  <c r="Y385" i="7" s="1"/>
  <c r="C385" i="7"/>
  <c r="N380" i="7"/>
  <c r="M380" i="7"/>
  <c r="L380" i="7"/>
  <c r="O380" i="7" s="1"/>
  <c r="J380" i="7"/>
  <c r="I380" i="7"/>
  <c r="H380" i="7"/>
  <c r="K380" i="7" s="1"/>
  <c r="F380" i="7"/>
  <c r="X380" i="7" s="1"/>
  <c r="E380" i="7"/>
  <c r="W380" i="7" s="1"/>
  <c r="D380" i="7"/>
  <c r="V380" i="7" s="1"/>
  <c r="Y380" i="7" s="1"/>
  <c r="C380" i="7"/>
  <c r="N379" i="7"/>
  <c r="M379" i="7"/>
  <c r="L379" i="7"/>
  <c r="O379" i="7" s="1"/>
  <c r="J379" i="7"/>
  <c r="I379" i="7"/>
  <c r="H379" i="7"/>
  <c r="K379" i="7" s="1"/>
  <c r="F379" i="7"/>
  <c r="X379" i="7" s="1"/>
  <c r="E379" i="7"/>
  <c r="W379" i="7" s="1"/>
  <c r="D379" i="7"/>
  <c r="V379" i="7" s="1"/>
  <c r="Y379" i="7" s="1"/>
  <c r="C379" i="7"/>
  <c r="N376" i="7"/>
  <c r="M376" i="7"/>
  <c r="L376" i="7"/>
  <c r="O376" i="7" s="1"/>
  <c r="J376" i="7"/>
  <c r="I376" i="7"/>
  <c r="H376" i="7"/>
  <c r="K376" i="7" s="1"/>
  <c r="F376" i="7"/>
  <c r="X376" i="7" s="1"/>
  <c r="E376" i="7"/>
  <c r="W376" i="7" s="1"/>
  <c r="D376" i="7"/>
  <c r="V376" i="7" s="1"/>
  <c r="Y376" i="7" s="1"/>
  <c r="C376" i="7"/>
  <c r="N374" i="7"/>
  <c r="M374" i="7"/>
  <c r="L374" i="7"/>
  <c r="O374" i="7" s="1"/>
  <c r="J374" i="7"/>
  <c r="I374" i="7"/>
  <c r="H374" i="7"/>
  <c r="K374" i="7" s="1"/>
  <c r="F374" i="7"/>
  <c r="X374" i="7" s="1"/>
  <c r="E374" i="7"/>
  <c r="W374" i="7" s="1"/>
  <c r="D374" i="7"/>
  <c r="V374" i="7" s="1"/>
  <c r="Y374" i="7" s="1"/>
  <c r="C374" i="7"/>
  <c r="N373" i="7"/>
  <c r="L373" i="7"/>
  <c r="J373" i="7"/>
  <c r="H373" i="7"/>
  <c r="F373" i="7"/>
  <c r="X373" i="7" s="1"/>
  <c r="D373" i="7"/>
  <c r="V373" i="7" s="1"/>
  <c r="N372" i="7"/>
  <c r="M372" i="7"/>
  <c r="L372" i="7"/>
  <c r="O372" i="7" s="1"/>
  <c r="J372" i="7"/>
  <c r="I372" i="7"/>
  <c r="H372" i="7"/>
  <c r="K372" i="7" s="1"/>
  <c r="F372" i="7"/>
  <c r="X372" i="7" s="1"/>
  <c r="E372" i="7"/>
  <c r="W372" i="7" s="1"/>
  <c r="D372" i="7"/>
  <c r="V372" i="7" s="1"/>
  <c r="Y372" i="7" s="1"/>
  <c r="C372" i="7"/>
  <c r="N371" i="7"/>
  <c r="J371" i="7"/>
  <c r="F371" i="7"/>
  <c r="X364" i="7"/>
  <c r="W364" i="7"/>
  <c r="V364" i="7"/>
  <c r="Y364" i="7" s="1"/>
  <c r="O364" i="7"/>
  <c r="K364" i="7"/>
  <c r="G364" i="7"/>
  <c r="R364" i="7" s="1"/>
  <c r="C364" i="7"/>
  <c r="X363" i="7"/>
  <c r="W363" i="7"/>
  <c r="V363" i="7"/>
  <c r="Y363" i="7" s="1"/>
  <c r="Z363" i="7" s="1"/>
  <c r="O363" i="7"/>
  <c r="K363" i="7"/>
  <c r="G363" i="7"/>
  <c r="R363" i="7" s="1"/>
  <c r="S363" i="7" s="1"/>
  <c r="X362" i="7"/>
  <c r="W362" i="7"/>
  <c r="V362" i="7"/>
  <c r="Y362" i="7" s="1"/>
  <c r="Z362" i="7" s="1"/>
  <c r="O362" i="7"/>
  <c r="K362" i="7"/>
  <c r="G362" i="7"/>
  <c r="R362" i="7" s="1"/>
  <c r="S362" i="7" s="1"/>
  <c r="X361" i="7"/>
  <c r="W361" i="7"/>
  <c r="V361" i="7"/>
  <c r="Y361" i="7" s="1"/>
  <c r="Z361" i="7" s="1"/>
  <c r="O361" i="7"/>
  <c r="K361" i="7"/>
  <c r="G361" i="7"/>
  <c r="R361" i="7" s="1"/>
  <c r="S361" i="7" s="1"/>
  <c r="N360" i="7"/>
  <c r="M360" i="7"/>
  <c r="L360" i="7"/>
  <c r="O360" i="7" s="1"/>
  <c r="J360" i="7"/>
  <c r="I360" i="7"/>
  <c r="H360" i="7"/>
  <c r="K360" i="7" s="1"/>
  <c r="F360" i="7"/>
  <c r="X360" i="7" s="1"/>
  <c r="E360" i="7"/>
  <c r="W360" i="7" s="1"/>
  <c r="D360" i="7"/>
  <c r="V360" i="7" s="1"/>
  <c r="Y360" i="7" s="1"/>
  <c r="C360" i="7"/>
  <c r="N359" i="7"/>
  <c r="M359" i="7"/>
  <c r="L359" i="7"/>
  <c r="O359" i="7" s="1"/>
  <c r="J359" i="7"/>
  <c r="I359" i="7"/>
  <c r="H359" i="7"/>
  <c r="K359" i="7" s="1"/>
  <c r="F359" i="7"/>
  <c r="X359" i="7" s="1"/>
  <c r="E359" i="7"/>
  <c r="W359" i="7" s="1"/>
  <c r="D359" i="7"/>
  <c r="V359" i="7" s="1"/>
  <c r="Y359" i="7" s="1"/>
  <c r="C359" i="7"/>
  <c r="N358" i="7"/>
  <c r="M358" i="7"/>
  <c r="L358" i="7"/>
  <c r="O358" i="7" s="1"/>
  <c r="J358" i="7"/>
  <c r="I358" i="7"/>
  <c r="H358" i="7"/>
  <c r="K358" i="7" s="1"/>
  <c r="F358" i="7"/>
  <c r="X358" i="7" s="1"/>
  <c r="E358" i="7"/>
  <c r="W358" i="7" s="1"/>
  <c r="D358" i="7"/>
  <c r="V358" i="7" s="1"/>
  <c r="Y358" i="7" s="1"/>
  <c r="C358" i="7"/>
  <c r="X357" i="7"/>
  <c r="W357" i="7"/>
  <c r="V357" i="7"/>
  <c r="Y357" i="7" s="1"/>
  <c r="Z357" i="7" s="1"/>
  <c r="X356" i="7"/>
  <c r="W356" i="7"/>
  <c r="V356" i="7"/>
  <c r="Y356" i="7" s="1"/>
  <c r="Z356" i="7" s="1"/>
  <c r="O356" i="7"/>
  <c r="K356" i="7"/>
  <c r="G356" i="7"/>
  <c r="R356" i="7" s="1"/>
  <c r="S356" i="7" s="1"/>
  <c r="X355" i="7"/>
  <c r="W355" i="7"/>
  <c r="V355" i="7"/>
  <c r="Y355" i="7" s="1"/>
  <c r="Z355" i="7" s="1"/>
  <c r="O355" i="7"/>
  <c r="K355" i="7"/>
  <c r="G355" i="7"/>
  <c r="R355" i="7" s="1"/>
  <c r="S355" i="7" s="1"/>
  <c r="N354" i="7"/>
  <c r="M354" i="7"/>
  <c r="L354" i="7"/>
  <c r="O354" i="7" s="1"/>
  <c r="J354" i="7"/>
  <c r="I354" i="7"/>
  <c r="H354" i="7"/>
  <c r="K354" i="7" s="1"/>
  <c r="F354" i="7"/>
  <c r="X354" i="7" s="1"/>
  <c r="E354" i="7"/>
  <c r="W354" i="7" s="1"/>
  <c r="D354" i="7"/>
  <c r="V354" i="7" s="1"/>
  <c r="Y354" i="7" s="1"/>
  <c r="C354" i="7"/>
  <c r="N353" i="7"/>
  <c r="M353" i="7"/>
  <c r="L353" i="7"/>
  <c r="O353" i="7" s="1"/>
  <c r="J353" i="7"/>
  <c r="I353" i="7"/>
  <c r="H353" i="7"/>
  <c r="K353" i="7" s="1"/>
  <c r="F353" i="7"/>
  <c r="X353" i="7" s="1"/>
  <c r="E353" i="7"/>
  <c r="W353" i="7" s="1"/>
  <c r="D353" i="7"/>
  <c r="V353" i="7" s="1"/>
  <c r="Y353" i="7" s="1"/>
  <c r="C353" i="7"/>
  <c r="X352" i="7"/>
  <c r="W352" i="7"/>
  <c r="V352" i="7"/>
  <c r="Y352" i="7" s="1"/>
  <c r="Z352" i="7" s="1"/>
  <c r="O352" i="7"/>
  <c r="K352" i="7"/>
  <c r="G352" i="7"/>
  <c r="R352" i="7" s="1"/>
  <c r="S352" i="7" s="1"/>
  <c r="N351" i="7"/>
  <c r="N365" i="7" s="1"/>
  <c r="M351" i="7"/>
  <c r="L351" i="7"/>
  <c r="O351" i="7" s="1"/>
  <c r="J351" i="7"/>
  <c r="J365" i="7" s="1"/>
  <c r="I351" i="7"/>
  <c r="H351" i="7"/>
  <c r="K351" i="7" s="1"/>
  <c r="F351" i="7"/>
  <c r="E351" i="7"/>
  <c r="W351" i="7" s="1"/>
  <c r="D351" i="7"/>
  <c r="V351" i="7" s="1"/>
  <c r="C351" i="7"/>
  <c r="X350" i="7"/>
  <c r="W350" i="7"/>
  <c r="V350" i="7"/>
  <c r="Y350" i="7" s="1"/>
  <c r="Z350" i="7" s="1"/>
  <c r="O350" i="7"/>
  <c r="K350" i="7"/>
  <c r="G350" i="7"/>
  <c r="R350" i="7" s="1"/>
  <c r="S350" i="7" s="1"/>
  <c r="X349" i="7"/>
  <c r="V349" i="7"/>
  <c r="M349" i="7"/>
  <c r="O349" i="7" s="1"/>
  <c r="I349" i="7"/>
  <c r="K349" i="7" s="1"/>
  <c r="E349" i="7"/>
  <c r="W349" i="7" s="1"/>
  <c r="C349" i="7"/>
  <c r="X348" i="7"/>
  <c r="W348" i="7"/>
  <c r="V348" i="7"/>
  <c r="Y348" i="7" s="1"/>
  <c r="Z348" i="7" s="1"/>
  <c r="O348" i="7"/>
  <c r="K348" i="7"/>
  <c r="G348" i="7"/>
  <c r="R348" i="7" s="1"/>
  <c r="S348" i="7" s="1"/>
  <c r="X347" i="7"/>
  <c r="M347" i="7"/>
  <c r="M365" i="7" s="1"/>
  <c r="L347" i="7"/>
  <c r="L365" i="7" s="1"/>
  <c r="I347" i="7"/>
  <c r="I365" i="7" s="1"/>
  <c r="H347" i="7"/>
  <c r="H365" i="7" s="1"/>
  <c r="E347" i="7"/>
  <c r="D347" i="7"/>
  <c r="C347" i="7"/>
  <c r="C365" i="7" s="1"/>
  <c r="X339" i="7"/>
  <c r="W339" i="7"/>
  <c r="V339" i="7"/>
  <c r="Y339" i="7" s="1"/>
  <c r="O339" i="7"/>
  <c r="K339" i="7"/>
  <c r="G339" i="7"/>
  <c r="R339" i="7" s="1"/>
  <c r="C339" i="7"/>
  <c r="X338" i="7"/>
  <c r="W338" i="7"/>
  <c r="V338" i="7"/>
  <c r="Y338" i="7" s="1"/>
  <c r="Z338" i="7" s="1"/>
  <c r="O338" i="7"/>
  <c r="K338" i="7"/>
  <c r="G338" i="7"/>
  <c r="R338" i="7" s="1"/>
  <c r="S338" i="7" s="1"/>
  <c r="X337" i="7"/>
  <c r="W337" i="7"/>
  <c r="V337" i="7"/>
  <c r="Y337" i="7" s="1"/>
  <c r="Z337" i="7" s="1"/>
  <c r="O337" i="7"/>
  <c r="K337" i="7"/>
  <c r="G337" i="7"/>
  <c r="R337" i="7" s="1"/>
  <c r="S337" i="7" s="1"/>
  <c r="X336" i="7"/>
  <c r="W336" i="7"/>
  <c r="V336" i="7"/>
  <c r="Y336" i="7" s="1"/>
  <c r="Z336" i="7" s="1"/>
  <c r="O336" i="7"/>
  <c r="K336" i="7"/>
  <c r="G336" i="7"/>
  <c r="R336" i="7" s="1"/>
  <c r="S336" i="7" s="1"/>
  <c r="N335" i="7"/>
  <c r="M335" i="7"/>
  <c r="L335" i="7"/>
  <c r="O335" i="7" s="1"/>
  <c r="J335" i="7"/>
  <c r="I335" i="7"/>
  <c r="H335" i="7"/>
  <c r="K335" i="7" s="1"/>
  <c r="F335" i="7"/>
  <c r="X335" i="7" s="1"/>
  <c r="E335" i="7"/>
  <c r="W335" i="7" s="1"/>
  <c r="D335" i="7"/>
  <c r="V335" i="7" s="1"/>
  <c r="Y335" i="7" s="1"/>
  <c r="C335" i="7"/>
  <c r="N334" i="7"/>
  <c r="M334" i="7"/>
  <c r="L334" i="7"/>
  <c r="O334" i="7" s="1"/>
  <c r="J334" i="7"/>
  <c r="I334" i="7"/>
  <c r="H334" i="7"/>
  <c r="K334" i="7" s="1"/>
  <c r="F334" i="7"/>
  <c r="X334" i="7" s="1"/>
  <c r="E334" i="7"/>
  <c r="W334" i="7" s="1"/>
  <c r="D334" i="7"/>
  <c r="V334" i="7" s="1"/>
  <c r="Y334" i="7" s="1"/>
  <c r="C334" i="7"/>
  <c r="N333" i="7"/>
  <c r="M333" i="7"/>
  <c r="L333" i="7"/>
  <c r="O333" i="7" s="1"/>
  <c r="J333" i="7"/>
  <c r="I333" i="7"/>
  <c r="H333" i="7"/>
  <c r="K333" i="7" s="1"/>
  <c r="F333" i="7"/>
  <c r="X333" i="7" s="1"/>
  <c r="E333" i="7"/>
  <c r="W333" i="7" s="1"/>
  <c r="D333" i="7"/>
  <c r="V333" i="7" s="1"/>
  <c r="Y333" i="7" s="1"/>
  <c r="C333" i="7"/>
  <c r="N332" i="7"/>
  <c r="M332" i="7"/>
  <c r="L332" i="7"/>
  <c r="O332" i="7" s="1"/>
  <c r="J332" i="7"/>
  <c r="I332" i="7"/>
  <c r="H332" i="7"/>
  <c r="K332" i="7" s="1"/>
  <c r="F332" i="7"/>
  <c r="X332" i="7" s="1"/>
  <c r="E332" i="7"/>
  <c r="W332" i="7" s="1"/>
  <c r="D332" i="7"/>
  <c r="V332" i="7" s="1"/>
  <c r="Y332" i="7" s="1"/>
  <c r="C332" i="7"/>
  <c r="X331" i="7"/>
  <c r="W331" i="7"/>
  <c r="V331" i="7"/>
  <c r="Y331" i="7" s="1"/>
  <c r="Z331" i="7" s="1"/>
  <c r="O331" i="7"/>
  <c r="K331" i="7"/>
  <c r="G331" i="7"/>
  <c r="R331" i="7" s="1"/>
  <c r="S331" i="7" s="1"/>
  <c r="X330" i="7"/>
  <c r="W330" i="7"/>
  <c r="V330" i="7"/>
  <c r="Y330" i="7" s="1"/>
  <c r="Z330" i="7" s="1"/>
  <c r="O330" i="7"/>
  <c r="K330" i="7"/>
  <c r="G330" i="7"/>
  <c r="R330" i="7" s="1"/>
  <c r="S330" i="7" s="1"/>
  <c r="N329" i="7"/>
  <c r="M329" i="7"/>
  <c r="L329" i="7"/>
  <c r="O329" i="7" s="1"/>
  <c r="J329" i="7"/>
  <c r="I329" i="7"/>
  <c r="H329" i="7"/>
  <c r="K329" i="7" s="1"/>
  <c r="F329" i="7"/>
  <c r="X329" i="7" s="1"/>
  <c r="E329" i="7"/>
  <c r="W329" i="7" s="1"/>
  <c r="D329" i="7"/>
  <c r="V329" i="7" s="1"/>
  <c r="Y329" i="7" s="1"/>
  <c r="C329" i="7"/>
  <c r="N328" i="7"/>
  <c r="M328" i="7"/>
  <c r="L328" i="7"/>
  <c r="O328" i="7" s="1"/>
  <c r="J328" i="7"/>
  <c r="I328" i="7"/>
  <c r="H328" i="7"/>
  <c r="K328" i="7" s="1"/>
  <c r="F328" i="7"/>
  <c r="X328" i="7" s="1"/>
  <c r="E328" i="7"/>
  <c r="W328" i="7" s="1"/>
  <c r="D328" i="7"/>
  <c r="V328" i="7" s="1"/>
  <c r="Y328" i="7" s="1"/>
  <c r="C328" i="7"/>
  <c r="X327" i="7"/>
  <c r="W327" i="7"/>
  <c r="V327" i="7"/>
  <c r="Y327" i="7" s="1"/>
  <c r="Z327" i="7" s="1"/>
  <c r="O327" i="7"/>
  <c r="K327" i="7"/>
  <c r="G327" i="7"/>
  <c r="R327" i="7" s="1"/>
  <c r="S327" i="7" s="1"/>
  <c r="N326" i="7"/>
  <c r="N340" i="7" s="1"/>
  <c r="M326" i="7"/>
  <c r="L326" i="7"/>
  <c r="O326" i="7" s="1"/>
  <c r="J326" i="7"/>
  <c r="J340" i="7" s="1"/>
  <c r="I326" i="7"/>
  <c r="H326" i="7"/>
  <c r="K326" i="7" s="1"/>
  <c r="F326" i="7"/>
  <c r="E326" i="7"/>
  <c r="W326" i="7" s="1"/>
  <c r="D326" i="7"/>
  <c r="V326" i="7" s="1"/>
  <c r="C326" i="7"/>
  <c r="X325" i="7"/>
  <c r="W325" i="7"/>
  <c r="V325" i="7"/>
  <c r="Y325" i="7" s="1"/>
  <c r="Z325" i="7" s="1"/>
  <c r="O325" i="7"/>
  <c r="K325" i="7"/>
  <c r="G325" i="7"/>
  <c r="R325" i="7" s="1"/>
  <c r="S325" i="7" s="1"/>
  <c r="X324" i="7"/>
  <c r="V324" i="7"/>
  <c r="M324" i="7"/>
  <c r="M413" i="7" s="1"/>
  <c r="I324" i="7"/>
  <c r="I413" i="7" s="1"/>
  <c r="E324" i="7"/>
  <c r="E413" i="7" s="1"/>
  <c r="C324" i="7"/>
  <c r="C413" i="7" s="1"/>
  <c r="X323" i="7"/>
  <c r="W323" i="7"/>
  <c r="V323" i="7"/>
  <c r="Y323" i="7" s="1"/>
  <c r="Z323" i="7" s="1"/>
  <c r="O323" i="7"/>
  <c r="K323" i="7"/>
  <c r="G323" i="7"/>
  <c r="R323" i="7" s="1"/>
  <c r="S323" i="7" s="1"/>
  <c r="X322" i="7"/>
  <c r="M322" i="7"/>
  <c r="M340" i="7" s="1"/>
  <c r="L322" i="7"/>
  <c r="L340" i="7" s="1"/>
  <c r="I322" i="7"/>
  <c r="I340" i="7" s="1"/>
  <c r="H322" i="7"/>
  <c r="H340" i="7" s="1"/>
  <c r="E322" i="7"/>
  <c r="E340" i="7" s="1"/>
  <c r="D322" i="7"/>
  <c r="D340" i="7" s="1"/>
  <c r="C322" i="7"/>
  <c r="C340" i="7" s="1"/>
  <c r="X315" i="7"/>
  <c r="W315" i="7"/>
  <c r="V315" i="7"/>
  <c r="Y315" i="7" s="1"/>
  <c r="O315" i="7"/>
  <c r="K315" i="7"/>
  <c r="G315" i="7"/>
  <c r="R315" i="7" s="1"/>
  <c r="C315" i="7"/>
  <c r="C388" i="7" s="1"/>
  <c r="X314" i="7"/>
  <c r="W314" i="7"/>
  <c r="V314" i="7"/>
  <c r="Y314" i="7" s="1"/>
  <c r="Z314" i="7" s="1"/>
  <c r="O314" i="7"/>
  <c r="K314" i="7"/>
  <c r="G314" i="7"/>
  <c r="R314" i="7" s="1"/>
  <c r="S314" i="7" s="1"/>
  <c r="X313" i="7"/>
  <c r="W313" i="7"/>
  <c r="V313" i="7"/>
  <c r="Y313" i="7" s="1"/>
  <c r="Z313" i="7" s="1"/>
  <c r="O313" i="7"/>
  <c r="K313" i="7"/>
  <c r="G313" i="7"/>
  <c r="R313" i="7" s="1"/>
  <c r="S313" i="7" s="1"/>
  <c r="X312" i="7"/>
  <c r="W312" i="7"/>
  <c r="V312" i="7"/>
  <c r="Y312" i="7" s="1"/>
  <c r="Z312" i="7" s="1"/>
  <c r="O312" i="7"/>
  <c r="K312" i="7"/>
  <c r="G312" i="7"/>
  <c r="R312" i="7" s="1"/>
  <c r="S312" i="7" s="1"/>
  <c r="N311" i="7"/>
  <c r="N384" i="7" s="1"/>
  <c r="M311" i="7"/>
  <c r="M384" i="7" s="1"/>
  <c r="L311" i="7"/>
  <c r="L384" i="7" s="1"/>
  <c r="O384" i="7" s="1"/>
  <c r="J311" i="7"/>
  <c r="J384" i="7" s="1"/>
  <c r="I311" i="7"/>
  <c r="I384" i="7" s="1"/>
  <c r="H311" i="7"/>
  <c r="H384" i="7" s="1"/>
  <c r="K384" i="7" s="1"/>
  <c r="F311" i="7"/>
  <c r="F384" i="7" s="1"/>
  <c r="X384" i="7" s="1"/>
  <c r="E311" i="7"/>
  <c r="E384" i="7" s="1"/>
  <c r="W384" i="7" s="1"/>
  <c r="D311" i="7"/>
  <c r="D384" i="7" s="1"/>
  <c r="C311" i="7"/>
  <c r="C384" i="7" s="1"/>
  <c r="N310" i="7"/>
  <c r="N383" i="7" s="1"/>
  <c r="M310" i="7"/>
  <c r="M383" i="7" s="1"/>
  <c r="L310" i="7"/>
  <c r="L383" i="7" s="1"/>
  <c r="O383" i="7" s="1"/>
  <c r="J310" i="7"/>
  <c r="J383" i="7" s="1"/>
  <c r="I310" i="7"/>
  <c r="I383" i="7" s="1"/>
  <c r="H310" i="7"/>
  <c r="H383" i="7" s="1"/>
  <c r="K383" i="7" s="1"/>
  <c r="F310" i="7"/>
  <c r="F383" i="7" s="1"/>
  <c r="X383" i="7" s="1"/>
  <c r="E310" i="7"/>
  <c r="E383" i="7" s="1"/>
  <c r="W383" i="7" s="1"/>
  <c r="D310" i="7"/>
  <c r="D383" i="7" s="1"/>
  <c r="C310" i="7"/>
  <c r="C383" i="7" s="1"/>
  <c r="N309" i="7"/>
  <c r="N382" i="7" s="1"/>
  <c r="M309" i="7"/>
  <c r="M382" i="7" s="1"/>
  <c r="L309" i="7"/>
  <c r="L382" i="7" s="1"/>
  <c r="O382" i="7" s="1"/>
  <c r="J309" i="7"/>
  <c r="J382" i="7" s="1"/>
  <c r="I309" i="7"/>
  <c r="I382" i="7" s="1"/>
  <c r="H309" i="7"/>
  <c r="H382" i="7" s="1"/>
  <c r="K382" i="7" s="1"/>
  <c r="F309" i="7"/>
  <c r="F382" i="7" s="1"/>
  <c r="X382" i="7" s="1"/>
  <c r="E309" i="7"/>
  <c r="E382" i="7" s="1"/>
  <c r="W382" i="7" s="1"/>
  <c r="D309" i="7"/>
  <c r="D382" i="7" s="1"/>
  <c r="C309" i="7"/>
  <c r="C382" i="7" s="1"/>
  <c r="N308" i="7"/>
  <c r="N381" i="7" s="1"/>
  <c r="M308" i="7"/>
  <c r="M381" i="7" s="1"/>
  <c r="L308" i="7"/>
  <c r="L381" i="7" s="1"/>
  <c r="O381" i="7" s="1"/>
  <c r="J308" i="7"/>
  <c r="J381" i="7" s="1"/>
  <c r="I308" i="7"/>
  <c r="I381" i="7" s="1"/>
  <c r="H308" i="7"/>
  <c r="H381" i="7" s="1"/>
  <c r="K381" i="7" s="1"/>
  <c r="F308" i="7"/>
  <c r="F381" i="7" s="1"/>
  <c r="X381" i="7" s="1"/>
  <c r="E308" i="7"/>
  <c r="E381" i="7" s="1"/>
  <c r="W381" i="7" s="1"/>
  <c r="D308" i="7"/>
  <c r="D381" i="7" s="1"/>
  <c r="C308" i="7"/>
  <c r="C381" i="7" s="1"/>
  <c r="X307" i="7"/>
  <c r="W307" i="7"/>
  <c r="V307" i="7"/>
  <c r="Y307" i="7" s="1"/>
  <c r="Z307" i="7" s="1"/>
  <c r="O307" i="7"/>
  <c r="K307" i="7"/>
  <c r="G307" i="7"/>
  <c r="R307" i="7" s="1"/>
  <c r="S307" i="7" s="1"/>
  <c r="X306" i="7"/>
  <c r="W306" i="7"/>
  <c r="V306" i="7"/>
  <c r="Y306" i="7" s="1"/>
  <c r="Z306" i="7" s="1"/>
  <c r="O306" i="7"/>
  <c r="K306" i="7"/>
  <c r="G306" i="7"/>
  <c r="R306" i="7" s="1"/>
  <c r="S306" i="7" s="1"/>
  <c r="N305" i="7"/>
  <c r="M305" i="7"/>
  <c r="M378" i="7" s="1"/>
  <c r="L305" i="7"/>
  <c r="L378" i="7" s="1"/>
  <c r="J305" i="7"/>
  <c r="I305" i="7"/>
  <c r="I378" i="7" s="1"/>
  <c r="H305" i="7"/>
  <c r="H378" i="7" s="1"/>
  <c r="F305" i="7"/>
  <c r="E305" i="7"/>
  <c r="E378" i="7" s="1"/>
  <c r="W378" i="7" s="1"/>
  <c r="D305" i="7"/>
  <c r="D378" i="7" s="1"/>
  <c r="C305" i="7"/>
  <c r="C378" i="7" s="1"/>
  <c r="N304" i="7"/>
  <c r="N377" i="7" s="1"/>
  <c r="M304" i="7"/>
  <c r="M377" i="7" s="1"/>
  <c r="L304" i="7"/>
  <c r="L377" i="7" s="1"/>
  <c r="O377" i="7" s="1"/>
  <c r="J304" i="7"/>
  <c r="J377" i="7" s="1"/>
  <c r="I304" i="7"/>
  <c r="I377" i="7" s="1"/>
  <c r="H304" i="7"/>
  <c r="H377" i="7" s="1"/>
  <c r="K377" i="7" s="1"/>
  <c r="F304" i="7"/>
  <c r="F377" i="7" s="1"/>
  <c r="X377" i="7" s="1"/>
  <c r="E304" i="7"/>
  <c r="E377" i="7" s="1"/>
  <c r="W377" i="7" s="1"/>
  <c r="D304" i="7"/>
  <c r="D377" i="7" s="1"/>
  <c r="C304" i="7"/>
  <c r="C377" i="7" s="1"/>
  <c r="X303" i="7"/>
  <c r="W303" i="7"/>
  <c r="V303" i="7"/>
  <c r="Y303" i="7" s="1"/>
  <c r="Z303" i="7" s="1"/>
  <c r="O303" i="7"/>
  <c r="K303" i="7"/>
  <c r="G303" i="7"/>
  <c r="R303" i="7" s="1"/>
  <c r="S303" i="7" s="1"/>
  <c r="N302" i="7"/>
  <c r="M302" i="7"/>
  <c r="M375" i="7" s="1"/>
  <c r="L302" i="7"/>
  <c r="L375" i="7" s="1"/>
  <c r="J302" i="7"/>
  <c r="I302" i="7"/>
  <c r="I375" i="7" s="1"/>
  <c r="H302" i="7"/>
  <c r="H375" i="7" s="1"/>
  <c r="F302" i="7"/>
  <c r="E302" i="7"/>
  <c r="E375" i="7" s="1"/>
  <c r="W375" i="7" s="1"/>
  <c r="D302" i="7"/>
  <c r="D375" i="7" s="1"/>
  <c r="C302" i="7"/>
  <c r="C375" i="7" s="1"/>
  <c r="X301" i="7"/>
  <c r="W301" i="7"/>
  <c r="V301" i="7"/>
  <c r="Y301" i="7" s="1"/>
  <c r="Z301" i="7" s="1"/>
  <c r="O301" i="7"/>
  <c r="K301" i="7"/>
  <c r="G301" i="7"/>
  <c r="R301" i="7" s="1"/>
  <c r="S301" i="7" s="1"/>
  <c r="X300" i="7"/>
  <c r="V300" i="7"/>
  <c r="M300" i="7"/>
  <c r="M373" i="7" s="1"/>
  <c r="I300" i="7"/>
  <c r="I373" i="7" s="1"/>
  <c r="E300" i="7"/>
  <c r="E373" i="7" s="1"/>
  <c r="W373" i="7" s="1"/>
  <c r="C300" i="7"/>
  <c r="C373" i="7" s="1"/>
  <c r="X299" i="7"/>
  <c r="W299" i="7"/>
  <c r="V299" i="7"/>
  <c r="Y299" i="7" s="1"/>
  <c r="Z299" i="7" s="1"/>
  <c r="O299" i="7"/>
  <c r="K299" i="7"/>
  <c r="G299" i="7"/>
  <c r="R299" i="7" s="1"/>
  <c r="S299" i="7" s="1"/>
  <c r="X298" i="7"/>
  <c r="M298" i="7"/>
  <c r="L298" i="7"/>
  <c r="I298" i="7"/>
  <c r="H298" i="7"/>
  <c r="E298" i="7"/>
  <c r="D298" i="7"/>
  <c r="C298" i="7"/>
  <c r="N290" i="7"/>
  <c r="M290" i="7"/>
  <c r="L290" i="7"/>
  <c r="O290" i="7" s="1"/>
  <c r="J290" i="7"/>
  <c r="I290" i="7"/>
  <c r="H290" i="7"/>
  <c r="K290" i="7" s="1"/>
  <c r="F290" i="7"/>
  <c r="X290" i="7" s="1"/>
  <c r="E290" i="7"/>
  <c r="W290" i="7" s="1"/>
  <c r="D290" i="7"/>
  <c r="V290" i="7" s="1"/>
  <c r="Y290" i="7" s="1"/>
  <c r="C290" i="7"/>
  <c r="N289" i="7"/>
  <c r="M289" i="7"/>
  <c r="L289" i="7"/>
  <c r="O289" i="7" s="1"/>
  <c r="J289" i="7"/>
  <c r="I289" i="7"/>
  <c r="H289" i="7"/>
  <c r="K289" i="7" s="1"/>
  <c r="F289" i="7"/>
  <c r="X289" i="7" s="1"/>
  <c r="E289" i="7"/>
  <c r="W289" i="7" s="1"/>
  <c r="D289" i="7"/>
  <c r="V289" i="7" s="1"/>
  <c r="Y289" i="7" s="1"/>
  <c r="C289" i="7"/>
  <c r="N288" i="7"/>
  <c r="M288" i="7"/>
  <c r="L288" i="7"/>
  <c r="O288" i="7" s="1"/>
  <c r="J288" i="7"/>
  <c r="I288" i="7"/>
  <c r="H288" i="7"/>
  <c r="K288" i="7" s="1"/>
  <c r="F288" i="7"/>
  <c r="X288" i="7" s="1"/>
  <c r="E288" i="7"/>
  <c r="W288" i="7" s="1"/>
  <c r="D288" i="7"/>
  <c r="V288" i="7" s="1"/>
  <c r="Y288" i="7" s="1"/>
  <c r="C288" i="7"/>
  <c r="N287" i="7"/>
  <c r="M287" i="7"/>
  <c r="L287" i="7"/>
  <c r="O287" i="7" s="1"/>
  <c r="J287" i="7"/>
  <c r="I287" i="7"/>
  <c r="H287" i="7"/>
  <c r="K287" i="7" s="1"/>
  <c r="F287" i="7"/>
  <c r="X287" i="7" s="1"/>
  <c r="E287" i="7"/>
  <c r="W287" i="7" s="1"/>
  <c r="D287" i="7"/>
  <c r="V287" i="7" s="1"/>
  <c r="Y287" i="7" s="1"/>
  <c r="C287" i="7"/>
  <c r="N282" i="7"/>
  <c r="M282" i="7"/>
  <c r="L282" i="7"/>
  <c r="O282" i="7" s="1"/>
  <c r="J282" i="7"/>
  <c r="I282" i="7"/>
  <c r="H282" i="7"/>
  <c r="K282" i="7" s="1"/>
  <c r="F282" i="7"/>
  <c r="X282" i="7" s="1"/>
  <c r="E282" i="7"/>
  <c r="W282" i="7" s="1"/>
  <c r="D282" i="7"/>
  <c r="V282" i="7" s="1"/>
  <c r="Y282" i="7" s="1"/>
  <c r="C282" i="7"/>
  <c r="N281" i="7"/>
  <c r="M281" i="7"/>
  <c r="L281" i="7"/>
  <c r="O281" i="7" s="1"/>
  <c r="J281" i="7"/>
  <c r="I281" i="7"/>
  <c r="H281" i="7"/>
  <c r="K281" i="7" s="1"/>
  <c r="F281" i="7"/>
  <c r="X281" i="7" s="1"/>
  <c r="E281" i="7"/>
  <c r="W281" i="7" s="1"/>
  <c r="D281" i="7"/>
  <c r="V281" i="7" s="1"/>
  <c r="Y281" i="7" s="1"/>
  <c r="C281" i="7"/>
  <c r="N280" i="7"/>
  <c r="J280" i="7"/>
  <c r="F280" i="7"/>
  <c r="X280" i="7" s="1"/>
  <c r="N278" i="7"/>
  <c r="M278" i="7"/>
  <c r="L278" i="7"/>
  <c r="O278" i="7" s="1"/>
  <c r="J278" i="7"/>
  <c r="I278" i="7"/>
  <c r="H278" i="7"/>
  <c r="K278" i="7" s="1"/>
  <c r="F278" i="7"/>
  <c r="X278" i="7" s="1"/>
  <c r="E278" i="7"/>
  <c r="W278" i="7" s="1"/>
  <c r="D278" i="7"/>
  <c r="V278" i="7" s="1"/>
  <c r="Y278" i="7" s="1"/>
  <c r="C278" i="7"/>
  <c r="N276" i="7"/>
  <c r="M276" i="7"/>
  <c r="L276" i="7"/>
  <c r="O276" i="7" s="1"/>
  <c r="J276" i="7"/>
  <c r="I276" i="7"/>
  <c r="H276" i="7"/>
  <c r="K276" i="7" s="1"/>
  <c r="F276" i="7"/>
  <c r="X276" i="7" s="1"/>
  <c r="E276" i="7"/>
  <c r="W276" i="7" s="1"/>
  <c r="D276" i="7"/>
  <c r="V276" i="7" s="1"/>
  <c r="Y276" i="7" s="1"/>
  <c r="C276" i="7"/>
  <c r="N275" i="7"/>
  <c r="L275" i="7"/>
  <c r="J275" i="7"/>
  <c r="H275" i="7"/>
  <c r="F275" i="7"/>
  <c r="X275" i="7" s="1"/>
  <c r="D275" i="7"/>
  <c r="V275" i="7" s="1"/>
  <c r="N274" i="7"/>
  <c r="M274" i="7"/>
  <c r="L274" i="7"/>
  <c r="O274" i="7" s="1"/>
  <c r="J274" i="7"/>
  <c r="I274" i="7"/>
  <c r="H274" i="7"/>
  <c r="K274" i="7" s="1"/>
  <c r="F274" i="7"/>
  <c r="X274" i="7" s="1"/>
  <c r="E274" i="7"/>
  <c r="W274" i="7" s="1"/>
  <c r="D274" i="7"/>
  <c r="V274" i="7" s="1"/>
  <c r="Y274" i="7" s="1"/>
  <c r="C274" i="7"/>
  <c r="N273" i="7"/>
  <c r="J273" i="7"/>
  <c r="F273" i="7"/>
  <c r="X266" i="7"/>
  <c r="W266" i="7"/>
  <c r="V266" i="7"/>
  <c r="Y266" i="7" s="1"/>
  <c r="O266" i="7"/>
  <c r="K266" i="7"/>
  <c r="G266" i="7"/>
  <c r="R266" i="7" s="1"/>
  <c r="C266" i="7"/>
  <c r="X265" i="7"/>
  <c r="W265" i="7"/>
  <c r="V265" i="7"/>
  <c r="Y265" i="7" s="1"/>
  <c r="Z265" i="7" s="1"/>
  <c r="O265" i="7"/>
  <c r="K265" i="7"/>
  <c r="G265" i="7"/>
  <c r="R265" i="7" s="1"/>
  <c r="S265" i="7" s="1"/>
  <c r="X264" i="7"/>
  <c r="W264" i="7"/>
  <c r="V264" i="7"/>
  <c r="Y264" i="7" s="1"/>
  <c r="Z264" i="7" s="1"/>
  <c r="O264" i="7"/>
  <c r="K264" i="7"/>
  <c r="G264" i="7"/>
  <c r="R264" i="7" s="1"/>
  <c r="S264" i="7" s="1"/>
  <c r="X263" i="7"/>
  <c r="W263" i="7"/>
  <c r="V263" i="7"/>
  <c r="Y263" i="7" s="1"/>
  <c r="Z263" i="7" s="1"/>
  <c r="O263" i="7"/>
  <c r="K263" i="7"/>
  <c r="G263" i="7"/>
  <c r="R263" i="7" s="1"/>
  <c r="S263" i="7" s="1"/>
  <c r="N262" i="7"/>
  <c r="M262" i="7"/>
  <c r="L262" i="7"/>
  <c r="O262" i="7" s="1"/>
  <c r="J262" i="7"/>
  <c r="I262" i="7"/>
  <c r="H262" i="7"/>
  <c r="K262" i="7" s="1"/>
  <c r="F262" i="7"/>
  <c r="X262" i="7" s="1"/>
  <c r="E262" i="7"/>
  <c r="W262" i="7" s="1"/>
  <c r="D262" i="7"/>
  <c r="V262" i="7" s="1"/>
  <c r="Y262" i="7" s="1"/>
  <c r="C262" i="7"/>
  <c r="N261" i="7"/>
  <c r="M261" i="7"/>
  <c r="L261" i="7"/>
  <c r="O261" i="7" s="1"/>
  <c r="J261" i="7"/>
  <c r="I261" i="7"/>
  <c r="H261" i="7"/>
  <c r="K261" i="7" s="1"/>
  <c r="F261" i="7"/>
  <c r="X261" i="7" s="1"/>
  <c r="E261" i="7"/>
  <c r="W261" i="7" s="1"/>
  <c r="D261" i="7"/>
  <c r="V261" i="7" s="1"/>
  <c r="Y261" i="7" s="1"/>
  <c r="C261" i="7"/>
  <c r="N260" i="7"/>
  <c r="M260" i="7"/>
  <c r="L260" i="7"/>
  <c r="O260" i="7" s="1"/>
  <c r="J260" i="7"/>
  <c r="I260" i="7"/>
  <c r="H260" i="7"/>
  <c r="K260" i="7" s="1"/>
  <c r="F260" i="7"/>
  <c r="X260" i="7" s="1"/>
  <c r="E260" i="7"/>
  <c r="W260" i="7" s="1"/>
  <c r="D260" i="7"/>
  <c r="V260" i="7" s="1"/>
  <c r="Y260" i="7" s="1"/>
  <c r="C260" i="7"/>
  <c r="X259" i="7"/>
  <c r="W259" i="7"/>
  <c r="V259" i="7"/>
  <c r="Y259" i="7" s="1"/>
  <c r="Z259" i="7" s="1"/>
  <c r="X258" i="7"/>
  <c r="W258" i="7"/>
  <c r="V258" i="7"/>
  <c r="Y258" i="7" s="1"/>
  <c r="Z258" i="7" s="1"/>
  <c r="O258" i="7"/>
  <c r="K258" i="7"/>
  <c r="G258" i="7"/>
  <c r="R258" i="7" s="1"/>
  <c r="S258" i="7" s="1"/>
  <c r="X257" i="7"/>
  <c r="W257" i="7"/>
  <c r="V257" i="7"/>
  <c r="Y257" i="7" s="1"/>
  <c r="Z257" i="7" s="1"/>
  <c r="O257" i="7"/>
  <c r="K257" i="7"/>
  <c r="G257" i="7"/>
  <c r="R257" i="7" s="1"/>
  <c r="S257" i="7" s="1"/>
  <c r="X256" i="7"/>
  <c r="M256" i="7"/>
  <c r="L256" i="7"/>
  <c r="O256" i="7" s="1"/>
  <c r="I256" i="7"/>
  <c r="H256" i="7"/>
  <c r="K256" i="7" s="1"/>
  <c r="E256" i="7"/>
  <c r="W256" i="7" s="1"/>
  <c r="D256" i="7"/>
  <c r="V256" i="7" s="1"/>
  <c r="Y256" i="7" s="1"/>
  <c r="C256" i="7"/>
  <c r="N255" i="7"/>
  <c r="M255" i="7"/>
  <c r="L255" i="7"/>
  <c r="O255" i="7" s="1"/>
  <c r="J255" i="7"/>
  <c r="I255" i="7"/>
  <c r="H255" i="7"/>
  <c r="K255" i="7" s="1"/>
  <c r="F255" i="7"/>
  <c r="X255" i="7" s="1"/>
  <c r="E255" i="7"/>
  <c r="W255" i="7" s="1"/>
  <c r="D255" i="7"/>
  <c r="V255" i="7" s="1"/>
  <c r="Y255" i="7" s="1"/>
  <c r="C255" i="7"/>
  <c r="X254" i="7"/>
  <c r="W254" i="7"/>
  <c r="V254" i="7"/>
  <c r="Y254" i="7" s="1"/>
  <c r="Z254" i="7" s="1"/>
  <c r="O254" i="7"/>
  <c r="K254" i="7"/>
  <c r="G254" i="7"/>
  <c r="R254" i="7" s="1"/>
  <c r="S254" i="7" s="1"/>
  <c r="N253" i="7"/>
  <c r="N267" i="7" s="1"/>
  <c r="M253" i="7"/>
  <c r="L253" i="7"/>
  <c r="O253" i="7" s="1"/>
  <c r="J253" i="7"/>
  <c r="J267" i="7" s="1"/>
  <c r="I253" i="7"/>
  <c r="H253" i="7"/>
  <c r="K253" i="7" s="1"/>
  <c r="F253" i="7"/>
  <c r="E253" i="7"/>
  <c r="W253" i="7" s="1"/>
  <c r="D253" i="7"/>
  <c r="V253" i="7" s="1"/>
  <c r="C253" i="7"/>
  <c r="X252" i="7"/>
  <c r="W252" i="7"/>
  <c r="V252" i="7"/>
  <c r="Y252" i="7" s="1"/>
  <c r="Z252" i="7" s="1"/>
  <c r="O252" i="7"/>
  <c r="K252" i="7"/>
  <c r="G252" i="7"/>
  <c r="R252" i="7" s="1"/>
  <c r="S252" i="7" s="1"/>
  <c r="X251" i="7"/>
  <c r="V251" i="7"/>
  <c r="M251" i="7"/>
  <c r="O251" i="7" s="1"/>
  <c r="I251" i="7"/>
  <c r="K251" i="7" s="1"/>
  <c r="E251" i="7"/>
  <c r="W251" i="7" s="1"/>
  <c r="C251" i="7"/>
  <c r="X250" i="7"/>
  <c r="W250" i="7"/>
  <c r="V250" i="7"/>
  <c r="Y250" i="7" s="1"/>
  <c r="Z250" i="7" s="1"/>
  <c r="O250" i="7"/>
  <c r="K250" i="7"/>
  <c r="G250" i="7"/>
  <c r="R250" i="7" s="1"/>
  <c r="S250" i="7" s="1"/>
  <c r="X249" i="7"/>
  <c r="M249" i="7"/>
  <c r="M267" i="7" s="1"/>
  <c r="L249" i="7"/>
  <c r="L267" i="7" s="1"/>
  <c r="I249" i="7"/>
  <c r="I267" i="7" s="1"/>
  <c r="H249" i="7"/>
  <c r="H267" i="7" s="1"/>
  <c r="E249" i="7"/>
  <c r="D249" i="7"/>
  <c r="C249" i="7"/>
  <c r="C267" i="7" s="1"/>
  <c r="X241" i="7"/>
  <c r="W241" i="7"/>
  <c r="V241" i="7"/>
  <c r="Y241" i="7" s="1"/>
  <c r="O241" i="7"/>
  <c r="K241" i="7"/>
  <c r="G241" i="7"/>
  <c r="R241" i="7" s="1"/>
  <c r="C241" i="7"/>
  <c r="X240" i="7"/>
  <c r="W240" i="7"/>
  <c r="V240" i="7"/>
  <c r="Y240" i="7" s="1"/>
  <c r="Z240" i="7" s="1"/>
  <c r="O240" i="7"/>
  <c r="K240" i="7"/>
  <c r="G240" i="7"/>
  <c r="R240" i="7" s="1"/>
  <c r="S240" i="7" s="1"/>
  <c r="X239" i="7"/>
  <c r="W239" i="7"/>
  <c r="V239" i="7"/>
  <c r="Y239" i="7" s="1"/>
  <c r="Z239" i="7" s="1"/>
  <c r="O239" i="7"/>
  <c r="K239" i="7"/>
  <c r="G239" i="7"/>
  <c r="R239" i="7" s="1"/>
  <c r="S239" i="7" s="1"/>
  <c r="X238" i="7"/>
  <c r="W238" i="7"/>
  <c r="V238" i="7"/>
  <c r="Y238" i="7" s="1"/>
  <c r="Z238" i="7" s="1"/>
  <c r="O238" i="7"/>
  <c r="K238" i="7"/>
  <c r="G238" i="7"/>
  <c r="R238" i="7" s="1"/>
  <c r="S238" i="7" s="1"/>
  <c r="N237" i="7"/>
  <c r="M237" i="7"/>
  <c r="L237" i="7"/>
  <c r="O237" i="7" s="1"/>
  <c r="J237" i="7"/>
  <c r="I237" i="7"/>
  <c r="H237" i="7"/>
  <c r="K237" i="7" s="1"/>
  <c r="F237" i="7"/>
  <c r="X237" i="7" s="1"/>
  <c r="E237" i="7"/>
  <c r="W237" i="7" s="1"/>
  <c r="D237" i="7"/>
  <c r="V237" i="7" s="1"/>
  <c r="Y237" i="7" s="1"/>
  <c r="C237" i="7"/>
  <c r="N236" i="7"/>
  <c r="M236" i="7"/>
  <c r="L236" i="7"/>
  <c r="O236" i="7" s="1"/>
  <c r="J236" i="7"/>
  <c r="I236" i="7"/>
  <c r="H236" i="7"/>
  <c r="K236" i="7" s="1"/>
  <c r="F236" i="7"/>
  <c r="X236" i="7" s="1"/>
  <c r="E236" i="7"/>
  <c r="W236" i="7" s="1"/>
  <c r="D236" i="7"/>
  <c r="V236" i="7" s="1"/>
  <c r="Y236" i="7" s="1"/>
  <c r="C236" i="7"/>
  <c r="N235" i="7"/>
  <c r="M235" i="7"/>
  <c r="L235" i="7"/>
  <c r="O235" i="7" s="1"/>
  <c r="J235" i="7"/>
  <c r="I235" i="7"/>
  <c r="H235" i="7"/>
  <c r="K235" i="7" s="1"/>
  <c r="F235" i="7"/>
  <c r="X235" i="7" s="1"/>
  <c r="E235" i="7"/>
  <c r="W235" i="7" s="1"/>
  <c r="D235" i="7"/>
  <c r="V235" i="7" s="1"/>
  <c r="Y235" i="7" s="1"/>
  <c r="C235" i="7"/>
  <c r="X234" i="7"/>
  <c r="W234" i="7"/>
  <c r="V234" i="7"/>
  <c r="Y234" i="7" s="1"/>
  <c r="Z234" i="7" s="1"/>
  <c r="X233" i="7"/>
  <c r="W233" i="7"/>
  <c r="V233" i="7"/>
  <c r="Y233" i="7" s="1"/>
  <c r="Z233" i="7" s="1"/>
  <c r="O233" i="7"/>
  <c r="K233" i="7"/>
  <c r="G233" i="7"/>
  <c r="R233" i="7" s="1"/>
  <c r="S233" i="7" s="1"/>
  <c r="X232" i="7"/>
  <c r="W232" i="7"/>
  <c r="V232" i="7"/>
  <c r="Y232" i="7" s="1"/>
  <c r="Z232" i="7" s="1"/>
  <c r="O232" i="7"/>
  <c r="K232" i="7"/>
  <c r="G232" i="7"/>
  <c r="R232" i="7" s="1"/>
  <c r="S232" i="7" s="1"/>
  <c r="X231" i="7"/>
  <c r="M231" i="7"/>
  <c r="L231" i="7"/>
  <c r="O231" i="7" s="1"/>
  <c r="I231" i="7"/>
  <c r="H231" i="7"/>
  <c r="K231" i="7" s="1"/>
  <c r="E231" i="7"/>
  <c r="W231" i="7" s="1"/>
  <c r="D231" i="7"/>
  <c r="V231" i="7" s="1"/>
  <c r="Y231" i="7" s="1"/>
  <c r="C231" i="7"/>
  <c r="N230" i="7"/>
  <c r="M230" i="7"/>
  <c r="L230" i="7"/>
  <c r="O230" i="7" s="1"/>
  <c r="J230" i="7"/>
  <c r="I230" i="7"/>
  <c r="H230" i="7"/>
  <c r="K230" i="7" s="1"/>
  <c r="F230" i="7"/>
  <c r="X230" i="7" s="1"/>
  <c r="E230" i="7"/>
  <c r="W230" i="7" s="1"/>
  <c r="D230" i="7"/>
  <c r="V230" i="7" s="1"/>
  <c r="Y230" i="7" s="1"/>
  <c r="C230" i="7"/>
  <c r="X229" i="7"/>
  <c r="W229" i="7"/>
  <c r="V229" i="7"/>
  <c r="Y229" i="7" s="1"/>
  <c r="Z229" i="7" s="1"/>
  <c r="O229" i="7"/>
  <c r="K229" i="7"/>
  <c r="G229" i="7"/>
  <c r="R229" i="7" s="1"/>
  <c r="S229" i="7" s="1"/>
  <c r="N228" i="7"/>
  <c r="N242" i="7" s="1"/>
  <c r="M228" i="7"/>
  <c r="L228" i="7"/>
  <c r="O228" i="7" s="1"/>
  <c r="J228" i="7"/>
  <c r="J242" i="7" s="1"/>
  <c r="I228" i="7"/>
  <c r="H228" i="7"/>
  <c r="K228" i="7" s="1"/>
  <c r="F228" i="7"/>
  <c r="E228" i="7"/>
  <c r="W228" i="7" s="1"/>
  <c r="D228" i="7"/>
  <c r="V228" i="7" s="1"/>
  <c r="C228" i="7"/>
  <c r="X227" i="7"/>
  <c r="W227" i="7"/>
  <c r="V227" i="7"/>
  <c r="Y227" i="7" s="1"/>
  <c r="Z227" i="7" s="1"/>
  <c r="O227" i="7"/>
  <c r="K227" i="7"/>
  <c r="G227" i="7"/>
  <c r="R227" i="7" s="1"/>
  <c r="S227" i="7" s="1"/>
  <c r="X226" i="7"/>
  <c r="V226" i="7"/>
  <c r="M226" i="7"/>
  <c r="I226" i="7"/>
  <c r="E226" i="7"/>
  <c r="C226" i="7"/>
  <c r="X225" i="7"/>
  <c r="W225" i="7"/>
  <c r="V225" i="7"/>
  <c r="Y225" i="7" s="1"/>
  <c r="Z225" i="7" s="1"/>
  <c r="O225" i="7"/>
  <c r="K225" i="7"/>
  <c r="G225" i="7"/>
  <c r="R225" i="7" s="1"/>
  <c r="S225" i="7" s="1"/>
  <c r="X224" i="7"/>
  <c r="M224" i="7"/>
  <c r="L224" i="7"/>
  <c r="I224" i="7"/>
  <c r="H224" i="7"/>
  <c r="E224" i="7"/>
  <c r="D224" i="7"/>
  <c r="C224" i="7"/>
  <c r="X217" i="7"/>
  <c r="X413" i="7" s="1"/>
  <c r="W217" i="7"/>
  <c r="W413" i="7" s="1"/>
  <c r="V217" i="7"/>
  <c r="V413" i="7" s="1"/>
  <c r="Y413" i="7" s="1"/>
  <c r="Z413" i="7" s="1"/>
  <c r="O217" i="7"/>
  <c r="K217" i="7"/>
  <c r="G217" i="7"/>
  <c r="R217" i="7" s="1"/>
  <c r="C217" i="7"/>
  <c r="X216" i="7"/>
  <c r="X412" i="7" s="1"/>
  <c r="W216" i="7"/>
  <c r="W412" i="7" s="1"/>
  <c r="V216" i="7"/>
  <c r="V412" i="7" s="1"/>
  <c r="Y412" i="7" s="1"/>
  <c r="O216" i="7"/>
  <c r="K216" i="7"/>
  <c r="G216" i="7"/>
  <c r="R216" i="7" s="1"/>
  <c r="S216" i="7" s="1"/>
  <c r="X215" i="7"/>
  <c r="X411" i="7" s="1"/>
  <c r="W215" i="7"/>
  <c r="W411" i="7" s="1"/>
  <c r="V215" i="7"/>
  <c r="V411" i="7" s="1"/>
  <c r="Y411" i="7" s="1"/>
  <c r="O215" i="7"/>
  <c r="K215" i="7"/>
  <c r="G215" i="7"/>
  <c r="R215" i="7" s="1"/>
  <c r="S215" i="7" s="1"/>
  <c r="X214" i="7"/>
  <c r="X410" i="7" s="1"/>
  <c r="W214" i="7"/>
  <c r="W410" i="7" s="1"/>
  <c r="V214" i="7"/>
  <c r="V410" i="7" s="1"/>
  <c r="Y410" i="7" s="1"/>
  <c r="O214" i="7"/>
  <c r="K214" i="7"/>
  <c r="G214" i="7"/>
  <c r="R214" i="7" s="1"/>
  <c r="S214" i="7" s="1"/>
  <c r="N213" i="7"/>
  <c r="N409" i="7" s="1"/>
  <c r="M213" i="7"/>
  <c r="M409" i="7" s="1"/>
  <c r="L213" i="7"/>
  <c r="L409" i="7" s="1"/>
  <c r="O409" i="7" s="1"/>
  <c r="J213" i="7"/>
  <c r="J409" i="7" s="1"/>
  <c r="I213" i="7"/>
  <c r="I409" i="7" s="1"/>
  <c r="H213" i="7"/>
  <c r="H409" i="7" s="1"/>
  <c r="K409" i="7" s="1"/>
  <c r="F213" i="7"/>
  <c r="F409" i="7" s="1"/>
  <c r="E213" i="7"/>
  <c r="E409" i="7" s="1"/>
  <c r="D213" i="7"/>
  <c r="D409" i="7" s="1"/>
  <c r="G409" i="7" s="1"/>
  <c r="R409" i="7" s="1"/>
  <c r="C213" i="7"/>
  <c r="C409" i="7" s="1"/>
  <c r="N212" i="7"/>
  <c r="N408" i="7" s="1"/>
  <c r="M212" i="7"/>
  <c r="M408" i="7" s="1"/>
  <c r="L212" i="7"/>
  <c r="L408" i="7" s="1"/>
  <c r="O408" i="7" s="1"/>
  <c r="J212" i="7"/>
  <c r="J408" i="7" s="1"/>
  <c r="I212" i="7"/>
  <c r="I408" i="7" s="1"/>
  <c r="H212" i="7"/>
  <c r="H408" i="7" s="1"/>
  <c r="K408" i="7" s="1"/>
  <c r="F212" i="7"/>
  <c r="F408" i="7" s="1"/>
  <c r="E212" i="7"/>
  <c r="E408" i="7" s="1"/>
  <c r="D212" i="7"/>
  <c r="D408" i="7" s="1"/>
  <c r="G408" i="7" s="1"/>
  <c r="R408" i="7" s="1"/>
  <c r="C212" i="7"/>
  <c r="C408" i="7" s="1"/>
  <c r="N211" i="7"/>
  <c r="N407" i="7" s="1"/>
  <c r="M211" i="7"/>
  <c r="M407" i="7" s="1"/>
  <c r="L211" i="7"/>
  <c r="L407" i="7" s="1"/>
  <c r="O407" i="7" s="1"/>
  <c r="J211" i="7"/>
  <c r="J407" i="7" s="1"/>
  <c r="I211" i="7"/>
  <c r="I407" i="7" s="1"/>
  <c r="H211" i="7"/>
  <c r="H407" i="7" s="1"/>
  <c r="K407" i="7" s="1"/>
  <c r="F211" i="7"/>
  <c r="F407" i="7" s="1"/>
  <c r="E211" i="7"/>
  <c r="E407" i="7" s="1"/>
  <c r="D211" i="7"/>
  <c r="D407" i="7" s="1"/>
  <c r="G407" i="7" s="1"/>
  <c r="R407" i="7" s="1"/>
  <c r="C211" i="7"/>
  <c r="C407" i="7" s="1"/>
  <c r="N406" i="7"/>
  <c r="M406" i="7"/>
  <c r="L406" i="7"/>
  <c r="O406" i="7" s="1"/>
  <c r="J406" i="7"/>
  <c r="I406" i="7"/>
  <c r="H406" i="7"/>
  <c r="K406" i="7" s="1"/>
  <c r="F406" i="7"/>
  <c r="E406" i="7"/>
  <c r="D406" i="7"/>
  <c r="G406" i="7" s="1"/>
  <c r="R406" i="7" s="1"/>
  <c r="C406" i="7"/>
  <c r="X209" i="7"/>
  <c r="X405" i="7" s="1"/>
  <c r="W209" i="7"/>
  <c r="W405" i="7" s="1"/>
  <c r="V209" i="7"/>
  <c r="V405" i="7" s="1"/>
  <c r="Y405" i="7" s="1"/>
  <c r="Z405" i="7" s="1"/>
  <c r="O209" i="7"/>
  <c r="K209" i="7"/>
  <c r="G209" i="7"/>
  <c r="R209" i="7" s="1"/>
  <c r="S209" i="7" s="1"/>
  <c r="X208" i="7"/>
  <c r="X404" i="7" s="1"/>
  <c r="W208" i="7"/>
  <c r="W404" i="7" s="1"/>
  <c r="V208" i="7"/>
  <c r="V404" i="7" s="1"/>
  <c r="Y404" i="7" s="1"/>
  <c r="Z404" i="7" s="1"/>
  <c r="O208" i="7"/>
  <c r="K208" i="7"/>
  <c r="G208" i="7"/>
  <c r="R208" i="7" s="1"/>
  <c r="S208" i="7" s="1"/>
  <c r="X207" i="7"/>
  <c r="M207" i="7"/>
  <c r="M403" i="7" s="1"/>
  <c r="L207" i="7"/>
  <c r="L403" i="7" s="1"/>
  <c r="I207" i="7"/>
  <c r="I403" i="7" s="1"/>
  <c r="H207" i="7"/>
  <c r="H403" i="7" s="1"/>
  <c r="E207" i="7"/>
  <c r="E403" i="7" s="1"/>
  <c r="D207" i="7"/>
  <c r="D403" i="7" s="1"/>
  <c r="C207" i="7"/>
  <c r="C403" i="7" s="1"/>
  <c r="N206" i="7"/>
  <c r="N402" i="7" s="1"/>
  <c r="M206" i="7"/>
  <c r="M402" i="7" s="1"/>
  <c r="L206" i="7"/>
  <c r="L402" i="7" s="1"/>
  <c r="O402" i="7" s="1"/>
  <c r="J206" i="7"/>
  <c r="J402" i="7" s="1"/>
  <c r="I206" i="7"/>
  <c r="I402" i="7" s="1"/>
  <c r="H206" i="7"/>
  <c r="H402" i="7" s="1"/>
  <c r="K402" i="7" s="1"/>
  <c r="F206" i="7"/>
  <c r="F402" i="7" s="1"/>
  <c r="E206" i="7"/>
  <c r="E402" i="7" s="1"/>
  <c r="D206" i="7"/>
  <c r="D402" i="7" s="1"/>
  <c r="G402" i="7" s="1"/>
  <c r="R402" i="7" s="1"/>
  <c r="C206" i="7"/>
  <c r="C402" i="7" s="1"/>
  <c r="X205" i="7"/>
  <c r="X401" i="7" s="1"/>
  <c r="W205" i="7"/>
  <c r="W401" i="7" s="1"/>
  <c r="V205" i="7"/>
  <c r="V401" i="7" s="1"/>
  <c r="Y401" i="7" s="1"/>
  <c r="Z401" i="7" s="1"/>
  <c r="O205" i="7"/>
  <c r="K205" i="7"/>
  <c r="G205" i="7"/>
  <c r="R205" i="7" s="1"/>
  <c r="S205" i="7" s="1"/>
  <c r="N204" i="7"/>
  <c r="M204" i="7"/>
  <c r="M400" i="7" s="1"/>
  <c r="L204" i="7"/>
  <c r="L400" i="7" s="1"/>
  <c r="J204" i="7"/>
  <c r="I204" i="7"/>
  <c r="I400" i="7" s="1"/>
  <c r="H204" i="7"/>
  <c r="H400" i="7" s="1"/>
  <c r="F204" i="7"/>
  <c r="E204" i="7"/>
  <c r="E400" i="7" s="1"/>
  <c r="D204" i="7"/>
  <c r="D400" i="7" s="1"/>
  <c r="C204" i="7"/>
  <c r="C400" i="7" s="1"/>
  <c r="X203" i="7"/>
  <c r="X399" i="7" s="1"/>
  <c r="W203" i="7"/>
  <c r="W399" i="7" s="1"/>
  <c r="V203" i="7"/>
  <c r="V399" i="7" s="1"/>
  <c r="Y399" i="7" s="1"/>
  <c r="Z399" i="7" s="1"/>
  <c r="O203" i="7"/>
  <c r="K203" i="7"/>
  <c r="G203" i="7"/>
  <c r="R203" i="7" s="1"/>
  <c r="S203" i="7" s="1"/>
  <c r="X202" i="7"/>
  <c r="X398" i="7" s="1"/>
  <c r="V202" i="7"/>
  <c r="V398" i="7" s="1"/>
  <c r="M202" i="7"/>
  <c r="M398" i="7" s="1"/>
  <c r="I202" i="7"/>
  <c r="I398" i="7" s="1"/>
  <c r="E202" i="7"/>
  <c r="E398" i="7" s="1"/>
  <c r="C202" i="7"/>
  <c r="C398" i="7" s="1"/>
  <c r="X201" i="7"/>
  <c r="X397" i="7" s="1"/>
  <c r="W201" i="7"/>
  <c r="W397" i="7" s="1"/>
  <c r="V201" i="7"/>
  <c r="V397" i="7" s="1"/>
  <c r="Y397" i="7" s="1"/>
  <c r="Z397" i="7" s="1"/>
  <c r="O201" i="7"/>
  <c r="K201" i="7"/>
  <c r="G201" i="7"/>
  <c r="R201" i="7" s="1"/>
  <c r="S201" i="7" s="1"/>
  <c r="X200" i="7"/>
  <c r="X396" i="7" s="1"/>
  <c r="M200" i="7"/>
  <c r="L200" i="7"/>
  <c r="I200" i="7"/>
  <c r="H200" i="7"/>
  <c r="E200" i="7"/>
  <c r="D200" i="7"/>
  <c r="C200" i="7"/>
  <c r="N193" i="7"/>
  <c r="M193" i="7"/>
  <c r="L193" i="7"/>
  <c r="O193" i="7" s="1"/>
  <c r="J193" i="7"/>
  <c r="I193" i="7"/>
  <c r="H193" i="7"/>
  <c r="K193" i="7" s="1"/>
  <c r="F193" i="7"/>
  <c r="E193" i="7"/>
  <c r="D193" i="7"/>
  <c r="G193" i="7" s="1"/>
  <c r="R193" i="7" s="1"/>
  <c r="N192" i="7"/>
  <c r="M192" i="7"/>
  <c r="L192" i="7"/>
  <c r="O192" i="7" s="1"/>
  <c r="J192" i="7"/>
  <c r="I192" i="7"/>
  <c r="H192" i="7"/>
  <c r="K192" i="7" s="1"/>
  <c r="F192" i="7"/>
  <c r="E192" i="7"/>
  <c r="D192" i="7"/>
  <c r="G192" i="7" s="1"/>
  <c r="R192" i="7" s="1"/>
  <c r="C192" i="7"/>
  <c r="N191" i="7"/>
  <c r="M191" i="7"/>
  <c r="L191" i="7"/>
  <c r="O191" i="7" s="1"/>
  <c r="J191" i="7"/>
  <c r="I191" i="7"/>
  <c r="H191" i="7"/>
  <c r="K191" i="7" s="1"/>
  <c r="F191" i="7"/>
  <c r="E191" i="7"/>
  <c r="D191" i="7"/>
  <c r="G191" i="7" s="1"/>
  <c r="R191" i="7" s="1"/>
  <c r="C191" i="7"/>
  <c r="N190" i="7"/>
  <c r="M190" i="7"/>
  <c r="L190" i="7"/>
  <c r="O190" i="7" s="1"/>
  <c r="J190" i="7"/>
  <c r="I190" i="7"/>
  <c r="H190" i="7"/>
  <c r="K190" i="7" s="1"/>
  <c r="F190" i="7"/>
  <c r="E190" i="7"/>
  <c r="D190" i="7"/>
  <c r="G190" i="7" s="1"/>
  <c r="R190" i="7" s="1"/>
  <c r="C190" i="7"/>
  <c r="N189" i="7"/>
  <c r="M189" i="7"/>
  <c r="L189" i="7"/>
  <c r="O189" i="7" s="1"/>
  <c r="J189" i="7"/>
  <c r="I189" i="7"/>
  <c r="H189" i="7"/>
  <c r="K189" i="7" s="1"/>
  <c r="F189" i="7"/>
  <c r="E189" i="7"/>
  <c r="D189" i="7"/>
  <c r="G189" i="7" s="1"/>
  <c r="R189" i="7" s="1"/>
  <c r="C189" i="7"/>
  <c r="N188" i="7"/>
  <c r="M188" i="7"/>
  <c r="L188" i="7"/>
  <c r="O188" i="7" s="1"/>
  <c r="J188" i="7"/>
  <c r="I188" i="7"/>
  <c r="H188" i="7"/>
  <c r="K188" i="7" s="1"/>
  <c r="F188" i="7"/>
  <c r="E188" i="7"/>
  <c r="D188" i="7"/>
  <c r="G188" i="7" s="1"/>
  <c r="R188" i="7" s="1"/>
  <c r="C188" i="7"/>
  <c r="N187" i="7"/>
  <c r="M187" i="7"/>
  <c r="L187" i="7"/>
  <c r="O187" i="7" s="1"/>
  <c r="J187" i="7"/>
  <c r="I187" i="7"/>
  <c r="H187" i="7"/>
  <c r="K187" i="7" s="1"/>
  <c r="F187" i="7"/>
  <c r="E187" i="7"/>
  <c r="D187" i="7"/>
  <c r="G187" i="7" s="1"/>
  <c r="R187" i="7" s="1"/>
  <c r="C187" i="7"/>
  <c r="N186" i="7"/>
  <c r="M186" i="7"/>
  <c r="L186" i="7"/>
  <c r="O186" i="7" s="1"/>
  <c r="J186" i="7"/>
  <c r="I186" i="7"/>
  <c r="H186" i="7"/>
  <c r="K186" i="7" s="1"/>
  <c r="F186" i="7"/>
  <c r="E186" i="7"/>
  <c r="D186" i="7"/>
  <c r="G186" i="7" s="1"/>
  <c r="R186" i="7" s="1"/>
  <c r="C186" i="7"/>
  <c r="N185" i="7"/>
  <c r="M185" i="7"/>
  <c r="L185" i="7"/>
  <c r="O185" i="7" s="1"/>
  <c r="J185" i="7"/>
  <c r="I185" i="7"/>
  <c r="H185" i="7"/>
  <c r="K185" i="7" s="1"/>
  <c r="F185" i="7"/>
  <c r="E185" i="7"/>
  <c r="D185" i="7"/>
  <c r="G185" i="7" s="1"/>
  <c r="R185" i="7" s="1"/>
  <c r="C185" i="7"/>
  <c r="N184" i="7"/>
  <c r="M184" i="7"/>
  <c r="L184" i="7"/>
  <c r="O184" i="7" s="1"/>
  <c r="J184" i="7"/>
  <c r="I184" i="7"/>
  <c r="H184" i="7"/>
  <c r="K184" i="7" s="1"/>
  <c r="F184" i="7"/>
  <c r="E184" i="7"/>
  <c r="D184" i="7"/>
  <c r="G184" i="7" s="1"/>
  <c r="R184" i="7" s="1"/>
  <c r="C184" i="7"/>
  <c r="N183" i="7"/>
  <c r="M183" i="7"/>
  <c r="L183" i="7"/>
  <c r="O183" i="7" s="1"/>
  <c r="J183" i="7"/>
  <c r="I183" i="7"/>
  <c r="H183" i="7"/>
  <c r="K183" i="7" s="1"/>
  <c r="F183" i="7"/>
  <c r="E183" i="7"/>
  <c r="D183" i="7"/>
  <c r="G183" i="7" s="1"/>
  <c r="R183" i="7" s="1"/>
  <c r="C183" i="7"/>
  <c r="N182" i="7"/>
  <c r="M182" i="7"/>
  <c r="L182" i="7"/>
  <c r="O182" i="7" s="1"/>
  <c r="J182" i="7"/>
  <c r="I182" i="7"/>
  <c r="H182" i="7"/>
  <c r="K182" i="7" s="1"/>
  <c r="F182" i="7"/>
  <c r="E182" i="7"/>
  <c r="D182" i="7"/>
  <c r="G182" i="7" s="1"/>
  <c r="R182" i="7" s="1"/>
  <c r="C182" i="7"/>
  <c r="N181" i="7"/>
  <c r="M181" i="7"/>
  <c r="L181" i="7"/>
  <c r="O181" i="7" s="1"/>
  <c r="J181" i="7"/>
  <c r="I181" i="7"/>
  <c r="H181" i="7"/>
  <c r="K181" i="7" s="1"/>
  <c r="F181" i="7"/>
  <c r="E181" i="7"/>
  <c r="D181" i="7"/>
  <c r="G181" i="7" s="1"/>
  <c r="R181" i="7" s="1"/>
  <c r="C181" i="7"/>
  <c r="N180" i="7"/>
  <c r="M180" i="7"/>
  <c r="L180" i="7"/>
  <c r="O180" i="7" s="1"/>
  <c r="J180" i="7"/>
  <c r="I180" i="7"/>
  <c r="H180" i="7"/>
  <c r="K180" i="7" s="1"/>
  <c r="F180" i="7"/>
  <c r="E180" i="7"/>
  <c r="D180" i="7"/>
  <c r="G180" i="7" s="1"/>
  <c r="R180" i="7" s="1"/>
  <c r="C180" i="7"/>
  <c r="N179" i="7"/>
  <c r="M179" i="7"/>
  <c r="L179" i="7"/>
  <c r="O179" i="7" s="1"/>
  <c r="J179" i="7"/>
  <c r="I179" i="7"/>
  <c r="H179" i="7"/>
  <c r="K179" i="7" s="1"/>
  <c r="F179" i="7"/>
  <c r="E179" i="7"/>
  <c r="D179" i="7"/>
  <c r="G179" i="7" s="1"/>
  <c r="R179" i="7" s="1"/>
  <c r="C179" i="7"/>
  <c r="N178" i="7"/>
  <c r="M178" i="7"/>
  <c r="L178" i="7"/>
  <c r="O178" i="7" s="1"/>
  <c r="J178" i="7"/>
  <c r="I178" i="7"/>
  <c r="H178" i="7"/>
  <c r="K178" i="7" s="1"/>
  <c r="F178" i="7"/>
  <c r="E178" i="7"/>
  <c r="D178" i="7"/>
  <c r="G178" i="7" s="1"/>
  <c r="R178" i="7" s="1"/>
  <c r="C178" i="7"/>
  <c r="N177" i="7"/>
  <c r="M177" i="7"/>
  <c r="L177" i="7"/>
  <c r="O177" i="7" s="1"/>
  <c r="J177" i="7"/>
  <c r="I177" i="7"/>
  <c r="H177" i="7"/>
  <c r="K177" i="7" s="1"/>
  <c r="F177" i="7"/>
  <c r="E177" i="7"/>
  <c r="D177" i="7"/>
  <c r="G177" i="7" s="1"/>
  <c r="R177" i="7" s="1"/>
  <c r="C177" i="7"/>
  <c r="N176" i="7"/>
  <c r="N194" i="7" s="1"/>
  <c r="M176" i="7"/>
  <c r="M194" i="7" s="1"/>
  <c r="L176" i="7"/>
  <c r="L194" i="7" s="1"/>
  <c r="J176" i="7"/>
  <c r="J194" i="7" s="1"/>
  <c r="I176" i="7"/>
  <c r="I194" i="7" s="1"/>
  <c r="H176" i="7"/>
  <c r="H194" i="7" s="1"/>
  <c r="F176" i="7"/>
  <c r="F194" i="7" s="1"/>
  <c r="E176" i="7"/>
  <c r="E194" i="7" s="1"/>
  <c r="D176" i="7"/>
  <c r="D194" i="7" s="1"/>
  <c r="C176" i="7"/>
  <c r="N170" i="7"/>
  <c r="M170" i="7"/>
  <c r="L170" i="7"/>
  <c r="J170" i="7"/>
  <c r="I170" i="7"/>
  <c r="H170" i="7"/>
  <c r="F170" i="7"/>
  <c r="E170" i="7"/>
  <c r="D170" i="7"/>
  <c r="O169" i="7"/>
  <c r="K169" i="7"/>
  <c r="G169" i="7"/>
  <c r="R169" i="7" s="1"/>
  <c r="C169" i="7"/>
  <c r="C170" i="7" s="1"/>
  <c r="O168" i="7"/>
  <c r="K168" i="7"/>
  <c r="G168" i="7"/>
  <c r="R168" i="7" s="1"/>
  <c r="S168" i="7" s="1"/>
  <c r="O167" i="7"/>
  <c r="K167" i="7"/>
  <c r="G167" i="7"/>
  <c r="R167" i="7" s="1"/>
  <c r="S167" i="7" s="1"/>
  <c r="O166" i="7"/>
  <c r="K166" i="7"/>
  <c r="G166" i="7"/>
  <c r="R166" i="7" s="1"/>
  <c r="S166" i="7" s="1"/>
  <c r="O165" i="7"/>
  <c r="K165" i="7"/>
  <c r="G165" i="7"/>
  <c r="R165" i="7" s="1"/>
  <c r="S165" i="7" s="1"/>
  <c r="O164" i="7"/>
  <c r="K164" i="7"/>
  <c r="G164" i="7"/>
  <c r="R164" i="7" s="1"/>
  <c r="S164" i="7" s="1"/>
  <c r="O163" i="7"/>
  <c r="K163" i="7"/>
  <c r="G163" i="7"/>
  <c r="R163" i="7" s="1"/>
  <c r="S163" i="7" s="1"/>
  <c r="O162" i="7"/>
  <c r="K162" i="7"/>
  <c r="G162" i="7"/>
  <c r="R162" i="7" s="1"/>
  <c r="S162" i="7" s="1"/>
  <c r="O161" i="7"/>
  <c r="K161" i="7"/>
  <c r="G161" i="7"/>
  <c r="R161" i="7" s="1"/>
  <c r="S161" i="7" s="1"/>
  <c r="O160" i="7"/>
  <c r="K160" i="7"/>
  <c r="G160" i="7"/>
  <c r="R160" i="7" s="1"/>
  <c r="S160" i="7" s="1"/>
  <c r="O159" i="7"/>
  <c r="K159" i="7"/>
  <c r="G159" i="7"/>
  <c r="R159" i="7" s="1"/>
  <c r="S159" i="7" s="1"/>
  <c r="O158" i="7"/>
  <c r="K158" i="7"/>
  <c r="G158" i="7"/>
  <c r="R158" i="7" s="1"/>
  <c r="S158" i="7" s="1"/>
  <c r="O157" i="7"/>
  <c r="K157" i="7"/>
  <c r="G157" i="7"/>
  <c r="R157" i="7" s="1"/>
  <c r="S157" i="7" s="1"/>
  <c r="O156" i="7"/>
  <c r="K156" i="7"/>
  <c r="G156" i="7"/>
  <c r="R156" i="7" s="1"/>
  <c r="S156" i="7" s="1"/>
  <c r="O155" i="7"/>
  <c r="K155" i="7"/>
  <c r="G155" i="7"/>
  <c r="R155" i="7" s="1"/>
  <c r="S155" i="7" s="1"/>
  <c r="O154" i="7"/>
  <c r="K154" i="7"/>
  <c r="G154" i="7"/>
  <c r="R154" i="7" s="1"/>
  <c r="S154" i="7" s="1"/>
  <c r="O153" i="7"/>
  <c r="K153" i="7"/>
  <c r="G153" i="7"/>
  <c r="R153" i="7" s="1"/>
  <c r="S153" i="7" s="1"/>
  <c r="O152" i="7"/>
  <c r="O170" i="7" s="1"/>
  <c r="K152" i="7"/>
  <c r="K170" i="7" s="1"/>
  <c r="G152" i="7"/>
  <c r="G170" i="7" s="1"/>
  <c r="R170" i="7" s="1"/>
  <c r="S170" i="7" s="1"/>
  <c r="N146" i="7"/>
  <c r="M146" i="7"/>
  <c r="L146" i="7"/>
  <c r="J146" i="7"/>
  <c r="I146" i="7"/>
  <c r="H146" i="7"/>
  <c r="F146" i="7"/>
  <c r="E146" i="7"/>
  <c r="D146" i="7"/>
  <c r="O145" i="7"/>
  <c r="K145" i="7"/>
  <c r="G145" i="7"/>
  <c r="R145" i="7" s="1"/>
  <c r="C145" i="7"/>
  <c r="C146" i="7" s="1"/>
  <c r="O144" i="7"/>
  <c r="K144" i="7"/>
  <c r="G144" i="7"/>
  <c r="R144" i="7" s="1"/>
  <c r="S144" i="7" s="1"/>
  <c r="O143" i="7"/>
  <c r="K143" i="7"/>
  <c r="G143" i="7"/>
  <c r="R143" i="7" s="1"/>
  <c r="S143" i="7" s="1"/>
  <c r="O142" i="7"/>
  <c r="K142" i="7"/>
  <c r="G142" i="7"/>
  <c r="R142" i="7" s="1"/>
  <c r="S142" i="7" s="1"/>
  <c r="O141" i="7"/>
  <c r="K141" i="7"/>
  <c r="G141" i="7"/>
  <c r="R141" i="7" s="1"/>
  <c r="S141" i="7" s="1"/>
  <c r="O140" i="7"/>
  <c r="K140" i="7"/>
  <c r="G140" i="7"/>
  <c r="R140" i="7" s="1"/>
  <c r="S140" i="7" s="1"/>
  <c r="O139" i="7"/>
  <c r="K139" i="7"/>
  <c r="G139" i="7"/>
  <c r="R139" i="7" s="1"/>
  <c r="S139" i="7" s="1"/>
  <c r="O138" i="7"/>
  <c r="K138" i="7"/>
  <c r="G138" i="7"/>
  <c r="R138" i="7" s="1"/>
  <c r="S138" i="7" s="1"/>
  <c r="O137" i="7"/>
  <c r="K137" i="7"/>
  <c r="G137" i="7"/>
  <c r="R137" i="7" s="1"/>
  <c r="S137" i="7" s="1"/>
  <c r="O136" i="7"/>
  <c r="K136" i="7"/>
  <c r="G136" i="7"/>
  <c r="R136" i="7" s="1"/>
  <c r="S136" i="7" s="1"/>
  <c r="O135" i="7"/>
  <c r="K135" i="7"/>
  <c r="G135" i="7"/>
  <c r="R135" i="7" s="1"/>
  <c r="S135" i="7" s="1"/>
  <c r="O134" i="7"/>
  <c r="K134" i="7"/>
  <c r="G134" i="7"/>
  <c r="R134" i="7" s="1"/>
  <c r="S134" i="7" s="1"/>
  <c r="O133" i="7"/>
  <c r="K133" i="7"/>
  <c r="G133" i="7"/>
  <c r="R133" i="7" s="1"/>
  <c r="S133" i="7" s="1"/>
  <c r="O132" i="7"/>
  <c r="K132" i="7"/>
  <c r="G132" i="7"/>
  <c r="R132" i="7" s="1"/>
  <c r="S132" i="7" s="1"/>
  <c r="O131" i="7"/>
  <c r="K131" i="7"/>
  <c r="G131" i="7"/>
  <c r="R131" i="7" s="1"/>
  <c r="S131" i="7" s="1"/>
  <c r="O130" i="7"/>
  <c r="K130" i="7"/>
  <c r="G130" i="7"/>
  <c r="R130" i="7" s="1"/>
  <c r="S130" i="7" s="1"/>
  <c r="O129" i="7"/>
  <c r="K129" i="7"/>
  <c r="G129" i="7"/>
  <c r="R129" i="7" s="1"/>
  <c r="S129" i="7" s="1"/>
  <c r="O128" i="7"/>
  <c r="O146" i="7" s="1"/>
  <c r="K128" i="7"/>
  <c r="K146" i="7" s="1"/>
  <c r="G128" i="7"/>
  <c r="G146" i="7" s="1"/>
  <c r="R146" i="7" s="1"/>
  <c r="S146" i="7" s="1"/>
  <c r="N122" i="7"/>
  <c r="M122" i="7"/>
  <c r="L122" i="7"/>
  <c r="J122" i="7"/>
  <c r="I122" i="7"/>
  <c r="H122" i="7"/>
  <c r="F122" i="7"/>
  <c r="E122" i="7"/>
  <c r="D122" i="7"/>
  <c r="O121" i="7"/>
  <c r="K121" i="7"/>
  <c r="G121" i="7"/>
  <c r="R121" i="7" s="1"/>
  <c r="C121" i="7"/>
  <c r="C193" i="7" s="1"/>
  <c r="O120" i="7"/>
  <c r="K120" i="7"/>
  <c r="G120" i="7"/>
  <c r="R120" i="7" s="1"/>
  <c r="S120" i="7" s="1"/>
  <c r="O119" i="7"/>
  <c r="K119" i="7"/>
  <c r="G119" i="7"/>
  <c r="R119" i="7" s="1"/>
  <c r="S119" i="7" s="1"/>
  <c r="O118" i="7"/>
  <c r="K118" i="7"/>
  <c r="G118" i="7"/>
  <c r="R118" i="7" s="1"/>
  <c r="S118" i="7" s="1"/>
  <c r="O117" i="7"/>
  <c r="K117" i="7"/>
  <c r="G117" i="7"/>
  <c r="R117" i="7" s="1"/>
  <c r="S117" i="7" s="1"/>
  <c r="O116" i="7"/>
  <c r="K116" i="7"/>
  <c r="G116" i="7"/>
  <c r="R116" i="7" s="1"/>
  <c r="S116" i="7" s="1"/>
  <c r="O115" i="7"/>
  <c r="K115" i="7"/>
  <c r="G115" i="7"/>
  <c r="R115" i="7" s="1"/>
  <c r="S115" i="7" s="1"/>
  <c r="O114" i="7"/>
  <c r="K114" i="7"/>
  <c r="G114" i="7"/>
  <c r="R114" i="7" s="1"/>
  <c r="S114" i="7" s="1"/>
  <c r="O113" i="7"/>
  <c r="K113" i="7"/>
  <c r="G113" i="7"/>
  <c r="R113" i="7" s="1"/>
  <c r="S113" i="7" s="1"/>
  <c r="O112" i="7"/>
  <c r="K112" i="7"/>
  <c r="G112" i="7"/>
  <c r="R112" i="7" s="1"/>
  <c r="S112" i="7" s="1"/>
  <c r="O111" i="7"/>
  <c r="K111" i="7"/>
  <c r="G111" i="7"/>
  <c r="R111" i="7" s="1"/>
  <c r="S111" i="7" s="1"/>
  <c r="O110" i="7"/>
  <c r="K110" i="7"/>
  <c r="G110" i="7"/>
  <c r="R110" i="7" s="1"/>
  <c r="S110" i="7" s="1"/>
  <c r="O109" i="7"/>
  <c r="K109" i="7"/>
  <c r="G109" i="7"/>
  <c r="R109" i="7" s="1"/>
  <c r="S109" i="7" s="1"/>
  <c r="O108" i="7"/>
  <c r="K108" i="7"/>
  <c r="G108" i="7"/>
  <c r="R108" i="7" s="1"/>
  <c r="S108" i="7" s="1"/>
  <c r="O107" i="7"/>
  <c r="K107" i="7"/>
  <c r="G107" i="7"/>
  <c r="R107" i="7" s="1"/>
  <c r="S107" i="7" s="1"/>
  <c r="O106" i="7"/>
  <c r="K106" i="7"/>
  <c r="G106" i="7"/>
  <c r="R106" i="7" s="1"/>
  <c r="S106" i="7" s="1"/>
  <c r="O105" i="7"/>
  <c r="K105" i="7"/>
  <c r="G105" i="7"/>
  <c r="R105" i="7" s="1"/>
  <c r="S105" i="7" s="1"/>
  <c r="O104" i="7"/>
  <c r="O122" i="7" s="1"/>
  <c r="K104" i="7"/>
  <c r="K122" i="7" s="1"/>
  <c r="G104" i="7"/>
  <c r="G122" i="7" s="1"/>
  <c r="R122" i="7" s="1"/>
  <c r="N97" i="7"/>
  <c r="N438" i="7" s="1"/>
  <c r="M97" i="7"/>
  <c r="M438" i="7" s="1"/>
  <c r="L97" i="7"/>
  <c r="L438" i="7" s="1"/>
  <c r="O438" i="7" s="1"/>
  <c r="J97" i="7"/>
  <c r="J438" i="7" s="1"/>
  <c r="I97" i="7"/>
  <c r="I438" i="7" s="1"/>
  <c r="H97" i="7"/>
  <c r="H438" i="7" s="1"/>
  <c r="K438" i="7" s="1"/>
  <c r="F97" i="7"/>
  <c r="F438" i="7" s="1"/>
  <c r="X438" i="7" s="1"/>
  <c r="E97" i="7"/>
  <c r="E438" i="7" s="1"/>
  <c r="W438" i="7" s="1"/>
  <c r="D97" i="7"/>
  <c r="D438" i="7" s="1"/>
  <c r="C97" i="7"/>
  <c r="C438" i="7" s="1"/>
  <c r="N96" i="7"/>
  <c r="N437" i="7" s="1"/>
  <c r="M96" i="7"/>
  <c r="M437" i="7" s="1"/>
  <c r="L96" i="7"/>
  <c r="L437" i="7" s="1"/>
  <c r="O437" i="7" s="1"/>
  <c r="J96" i="7"/>
  <c r="J437" i="7" s="1"/>
  <c r="I96" i="7"/>
  <c r="I437" i="7" s="1"/>
  <c r="H96" i="7"/>
  <c r="H437" i="7" s="1"/>
  <c r="K437" i="7" s="1"/>
  <c r="F96" i="7"/>
  <c r="F437" i="7" s="1"/>
  <c r="X437" i="7" s="1"/>
  <c r="E96" i="7"/>
  <c r="E437" i="7" s="1"/>
  <c r="W437" i="7" s="1"/>
  <c r="D96" i="7"/>
  <c r="D437" i="7" s="1"/>
  <c r="C96" i="7"/>
  <c r="C437" i="7" s="1"/>
  <c r="N95" i="7"/>
  <c r="N436" i="7" s="1"/>
  <c r="M95" i="7"/>
  <c r="M436" i="7" s="1"/>
  <c r="L95" i="7"/>
  <c r="L436" i="7" s="1"/>
  <c r="O436" i="7" s="1"/>
  <c r="J95" i="7"/>
  <c r="J436" i="7" s="1"/>
  <c r="I95" i="7"/>
  <c r="I436" i="7" s="1"/>
  <c r="H95" i="7"/>
  <c r="H436" i="7" s="1"/>
  <c r="K436" i="7" s="1"/>
  <c r="F95" i="7"/>
  <c r="F436" i="7" s="1"/>
  <c r="X436" i="7" s="1"/>
  <c r="E95" i="7"/>
  <c r="E436" i="7" s="1"/>
  <c r="W436" i="7" s="1"/>
  <c r="D95" i="7"/>
  <c r="D436" i="7" s="1"/>
  <c r="C95" i="7"/>
  <c r="C436" i="7" s="1"/>
  <c r="N94" i="7"/>
  <c r="N435" i="7" s="1"/>
  <c r="M94" i="7"/>
  <c r="M435" i="7" s="1"/>
  <c r="L94" i="7"/>
  <c r="L435" i="7" s="1"/>
  <c r="O435" i="7" s="1"/>
  <c r="J94" i="7"/>
  <c r="J435" i="7" s="1"/>
  <c r="I94" i="7"/>
  <c r="I435" i="7" s="1"/>
  <c r="H94" i="7"/>
  <c r="H435" i="7" s="1"/>
  <c r="K435" i="7" s="1"/>
  <c r="F94" i="7"/>
  <c r="F435" i="7" s="1"/>
  <c r="X435" i="7" s="1"/>
  <c r="E94" i="7"/>
  <c r="E435" i="7" s="1"/>
  <c r="W435" i="7" s="1"/>
  <c r="D94" i="7"/>
  <c r="D435" i="7" s="1"/>
  <c r="C94" i="7"/>
  <c r="C435" i="7" s="1"/>
  <c r="N93" i="7"/>
  <c r="M93" i="7"/>
  <c r="L93" i="7"/>
  <c r="J93" i="7"/>
  <c r="I93" i="7"/>
  <c r="H93" i="7"/>
  <c r="F93" i="7"/>
  <c r="E93" i="7"/>
  <c r="D93" i="7"/>
  <c r="C93" i="7"/>
  <c r="N92" i="7"/>
  <c r="M92" i="7"/>
  <c r="L92" i="7"/>
  <c r="J92" i="7"/>
  <c r="I92" i="7"/>
  <c r="H92" i="7"/>
  <c r="F92" i="7"/>
  <c r="E92" i="7"/>
  <c r="D92" i="7"/>
  <c r="C92" i="7"/>
  <c r="N91" i="7"/>
  <c r="M91" i="7"/>
  <c r="L91" i="7"/>
  <c r="J91" i="7"/>
  <c r="I91" i="7"/>
  <c r="H91" i="7"/>
  <c r="F91" i="7"/>
  <c r="E91" i="7"/>
  <c r="D91" i="7"/>
  <c r="C91" i="7"/>
  <c r="N90" i="7"/>
  <c r="M90" i="7"/>
  <c r="L90" i="7"/>
  <c r="J90" i="7"/>
  <c r="I90" i="7"/>
  <c r="H90" i="7"/>
  <c r="F90" i="7"/>
  <c r="E90" i="7"/>
  <c r="D90" i="7"/>
  <c r="C90" i="7"/>
  <c r="N89" i="7"/>
  <c r="N430" i="7" s="1"/>
  <c r="M89" i="7"/>
  <c r="M430" i="7" s="1"/>
  <c r="L89" i="7"/>
  <c r="L430" i="7" s="1"/>
  <c r="O430" i="7" s="1"/>
  <c r="J89" i="7"/>
  <c r="J430" i="7" s="1"/>
  <c r="I89" i="7"/>
  <c r="I430" i="7" s="1"/>
  <c r="H89" i="7"/>
  <c r="H430" i="7" s="1"/>
  <c r="K430" i="7" s="1"/>
  <c r="F89" i="7"/>
  <c r="F430" i="7" s="1"/>
  <c r="X430" i="7" s="1"/>
  <c r="E89" i="7"/>
  <c r="E430" i="7" s="1"/>
  <c r="W430" i="7" s="1"/>
  <c r="D89" i="7"/>
  <c r="D430" i="7" s="1"/>
  <c r="C89" i="7"/>
  <c r="C430" i="7" s="1"/>
  <c r="N88" i="7"/>
  <c r="N429" i="7" s="1"/>
  <c r="M88" i="7"/>
  <c r="M429" i="7" s="1"/>
  <c r="L88" i="7"/>
  <c r="L429" i="7" s="1"/>
  <c r="O429" i="7" s="1"/>
  <c r="J88" i="7"/>
  <c r="J429" i="7" s="1"/>
  <c r="I88" i="7"/>
  <c r="I429" i="7" s="1"/>
  <c r="H88" i="7"/>
  <c r="H429" i="7" s="1"/>
  <c r="K429" i="7" s="1"/>
  <c r="F88" i="7"/>
  <c r="F429" i="7" s="1"/>
  <c r="X429" i="7" s="1"/>
  <c r="E88" i="7"/>
  <c r="E429" i="7" s="1"/>
  <c r="W429" i="7" s="1"/>
  <c r="D88" i="7"/>
  <c r="D429" i="7" s="1"/>
  <c r="C88" i="7"/>
  <c r="C429" i="7" s="1"/>
  <c r="N87" i="7"/>
  <c r="M87" i="7"/>
  <c r="L87" i="7"/>
  <c r="J87" i="7"/>
  <c r="I87" i="7"/>
  <c r="H87" i="7"/>
  <c r="F87" i="7"/>
  <c r="E87" i="7"/>
  <c r="D87" i="7"/>
  <c r="C87" i="7"/>
  <c r="N86" i="7"/>
  <c r="M86" i="7"/>
  <c r="L86" i="7"/>
  <c r="J86" i="7"/>
  <c r="I86" i="7"/>
  <c r="H86" i="7"/>
  <c r="F86" i="7"/>
  <c r="E86" i="7"/>
  <c r="D86" i="7"/>
  <c r="C86" i="7"/>
  <c r="N85" i="7"/>
  <c r="N426" i="7" s="1"/>
  <c r="M85" i="7"/>
  <c r="M426" i="7" s="1"/>
  <c r="L85" i="7"/>
  <c r="L426" i="7" s="1"/>
  <c r="O426" i="7" s="1"/>
  <c r="J85" i="7"/>
  <c r="J426" i="7" s="1"/>
  <c r="I85" i="7"/>
  <c r="I426" i="7" s="1"/>
  <c r="H85" i="7"/>
  <c r="H426" i="7" s="1"/>
  <c r="K426" i="7" s="1"/>
  <c r="F85" i="7"/>
  <c r="F426" i="7" s="1"/>
  <c r="X426" i="7" s="1"/>
  <c r="E85" i="7"/>
  <c r="E426" i="7" s="1"/>
  <c r="W426" i="7" s="1"/>
  <c r="D85" i="7"/>
  <c r="D426" i="7" s="1"/>
  <c r="C85" i="7"/>
  <c r="C426" i="7" s="1"/>
  <c r="N84" i="7"/>
  <c r="M84" i="7"/>
  <c r="L84" i="7"/>
  <c r="J84" i="7"/>
  <c r="I84" i="7"/>
  <c r="H84" i="7"/>
  <c r="F84" i="7"/>
  <c r="E84" i="7"/>
  <c r="D84" i="7"/>
  <c r="C84" i="7"/>
  <c r="N83" i="7"/>
  <c r="N424" i="7" s="1"/>
  <c r="M83" i="7"/>
  <c r="M424" i="7" s="1"/>
  <c r="L83" i="7"/>
  <c r="L424" i="7" s="1"/>
  <c r="O424" i="7" s="1"/>
  <c r="J83" i="7"/>
  <c r="J424" i="7" s="1"/>
  <c r="I83" i="7"/>
  <c r="I424" i="7" s="1"/>
  <c r="H83" i="7"/>
  <c r="H424" i="7" s="1"/>
  <c r="K424" i="7" s="1"/>
  <c r="F83" i="7"/>
  <c r="F424" i="7" s="1"/>
  <c r="X424" i="7" s="1"/>
  <c r="E83" i="7"/>
  <c r="E424" i="7" s="1"/>
  <c r="W424" i="7" s="1"/>
  <c r="D83" i="7"/>
  <c r="D424" i="7" s="1"/>
  <c r="C83" i="7"/>
  <c r="C424" i="7" s="1"/>
  <c r="N82" i="7"/>
  <c r="N423" i="7" s="1"/>
  <c r="M82" i="7"/>
  <c r="L82" i="7"/>
  <c r="L423" i="7" s="1"/>
  <c r="J82" i="7"/>
  <c r="J423" i="7" s="1"/>
  <c r="I82" i="7"/>
  <c r="H82" i="7"/>
  <c r="H423" i="7" s="1"/>
  <c r="F82" i="7"/>
  <c r="F423" i="7" s="1"/>
  <c r="X423" i="7" s="1"/>
  <c r="E82" i="7"/>
  <c r="D82" i="7"/>
  <c r="D423" i="7" s="1"/>
  <c r="C82" i="7"/>
  <c r="N81" i="7"/>
  <c r="N422" i="7" s="1"/>
  <c r="M81" i="7"/>
  <c r="M422" i="7" s="1"/>
  <c r="L81" i="7"/>
  <c r="L422" i="7" s="1"/>
  <c r="O422" i="7" s="1"/>
  <c r="J81" i="7"/>
  <c r="J422" i="7" s="1"/>
  <c r="I81" i="7"/>
  <c r="I422" i="7" s="1"/>
  <c r="H81" i="7"/>
  <c r="H422" i="7" s="1"/>
  <c r="K422" i="7" s="1"/>
  <c r="F81" i="7"/>
  <c r="F422" i="7" s="1"/>
  <c r="X422" i="7" s="1"/>
  <c r="E81" i="7"/>
  <c r="E422" i="7" s="1"/>
  <c r="W422" i="7" s="1"/>
  <c r="D81" i="7"/>
  <c r="D422" i="7" s="1"/>
  <c r="C81" i="7"/>
  <c r="C422" i="7" s="1"/>
  <c r="N80" i="7"/>
  <c r="N421" i="7" s="1"/>
  <c r="M80" i="7"/>
  <c r="L80" i="7"/>
  <c r="J80" i="7"/>
  <c r="J421" i="7" s="1"/>
  <c r="I80" i="7"/>
  <c r="H80" i="7"/>
  <c r="F80" i="7"/>
  <c r="F421" i="7" s="1"/>
  <c r="E80" i="7"/>
  <c r="D80" i="7"/>
  <c r="C80" i="7"/>
  <c r="N74" i="7"/>
  <c r="M74" i="7"/>
  <c r="L74" i="7"/>
  <c r="J74" i="7"/>
  <c r="I74" i="7"/>
  <c r="H74" i="7"/>
  <c r="F74" i="7"/>
  <c r="E74" i="7"/>
  <c r="D74" i="7"/>
  <c r="O73" i="7"/>
  <c r="K73" i="7"/>
  <c r="G73" i="7"/>
  <c r="R73" i="7" s="1"/>
  <c r="C73" i="7"/>
  <c r="C74" i="7" s="1"/>
  <c r="O72" i="7"/>
  <c r="K72" i="7"/>
  <c r="G72" i="7"/>
  <c r="R72" i="7" s="1"/>
  <c r="S72" i="7" s="1"/>
  <c r="O71" i="7"/>
  <c r="K71" i="7"/>
  <c r="G71" i="7"/>
  <c r="R71" i="7" s="1"/>
  <c r="S71" i="7" s="1"/>
  <c r="O70" i="7"/>
  <c r="K70" i="7"/>
  <c r="G70" i="7"/>
  <c r="R70" i="7" s="1"/>
  <c r="S70" i="7" s="1"/>
  <c r="O69" i="7"/>
  <c r="K69" i="7"/>
  <c r="G69" i="7"/>
  <c r="R69" i="7" s="1"/>
  <c r="S69" i="7" s="1"/>
  <c r="O68" i="7"/>
  <c r="K68" i="7"/>
  <c r="G68" i="7"/>
  <c r="R68" i="7" s="1"/>
  <c r="S68" i="7" s="1"/>
  <c r="O67" i="7"/>
  <c r="K67" i="7"/>
  <c r="G67" i="7"/>
  <c r="R67" i="7" s="1"/>
  <c r="S67" i="7" s="1"/>
  <c r="O66" i="7"/>
  <c r="K66" i="7"/>
  <c r="G66" i="7"/>
  <c r="R66" i="7" s="1"/>
  <c r="S66" i="7" s="1"/>
  <c r="O65" i="7"/>
  <c r="K65" i="7"/>
  <c r="G65" i="7"/>
  <c r="R65" i="7" s="1"/>
  <c r="S65" i="7" s="1"/>
  <c r="O64" i="7"/>
  <c r="K64" i="7"/>
  <c r="G64" i="7"/>
  <c r="R64" i="7" s="1"/>
  <c r="S64" i="7" s="1"/>
  <c r="O63" i="7"/>
  <c r="K63" i="7"/>
  <c r="G63" i="7"/>
  <c r="R63" i="7" s="1"/>
  <c r="S63" i="7" s="1"/>
  <c r="O62" i="7"/>
  <c r="K62" i="7"/>
  <c r="G62" i="7"/>
  <c r="R62" i="7" s="1"/>
  <c r="S62" i="7" s="1"/>
  <c r="O61" i="7"/>
  <c r="K61" i="7"/>
  <c r="G61" i="7"/>
  <c r="R61" i="7" s="1"/>
  <c r="S61" i="7" s="1"/>
  <c r="O60" i="7"/>
  <c r="K60" i="7"/>
  <c r="G60" i="7"/>
  <c r="R60" i="7" s="1"/>
  <c r="S60" i="7" s="1"/>
  <c r="O59" i="7"/>
  <c r="K59" i="7"/>
  <c r="G59" i="7"/>
  <c r="R59" i="7" s="1"/>
  <c r="S59" i="7" s="1"/>
  <c r="O58" i="7"/>
  <c r="K58" i="7"/>
  <c r="G58" i="7"/>
  <c r="R58" i="7" s="1"/>
  <c r="S58" i="7" s="1"/>
  <c r="O57" i="7"/>
  <c r="K57" i="7"/>
  <c r="G57" i="7"/>
  <c r="R57" i="7" s="1"/>
  <c r="S57" i="7" s="1"/>
  <c r="O56" i="7"/>
  <c r="O74" i="7" s="1"/>
  <c r="K56" i="7"/>
  <c r="K74" i="7" s="1"/>
  <c r="G56" i="7"/>
  <c r="G74" i="7" s="1"/>
  <c r="R74" i="7" s="1"/>
  <c r="S74" i="7" s="1"/>
  <c r="N50" i="7"/>
  <c r="M50" i="7"/>
  <c r="L50" i="7"/>
  <c r="J50" i="7"/>
  <c r="I50" i="7"/>
  <c r="H50" i="7"/>
  <c r="F50" i="7"/>
  <c r="E50" i="7"/>
  <c r="D50" i="7"/>
  <c r="O49" i="7"/>
  <c r="K49" i="7"/>
  <c r="G49" i="7"/>
  <c r="R49" i="7" s="1"/>
  <c r="C49" i="7"/>
  <c r="C50" i="7" s="1"/>
  <c r="O48" i="7"/>
  <c r="K48" i="7"/>
  <c r="G48" i="7"/>
  <c r="R48" i="7" s="1"/>
  <c r="S48" i="7" s="1"/>
  <c r="O47" i="7"/>
  <c r="K47" i="7"/>
  <c r="G47" i="7"/>
  <c r="R47" i="7" s="1"/>
  <c r="S47" i="7" s="1"/>
  <c r="O46" i="7"/>
  <c r="K46" i="7"/>
  <c r="G46" i="7"/>
  <c r="R46" i="7" s="1"/>
  <c r="S46" i="7" s="1"/>
  <c r="O45" i="7"/>
  <c r="K45" i="7"/>
  <c r="G45" i="7"/>
  <c r="R45" i="7" s="1"/>
  <c r="S45" i="7" s="1"/>
  <c r="O44" i="7"/>
  <c r="K44" i="7"/>
  <c r="G44" i="7"/>
  <c r="R44" i="7" s="1"/>
  <c r="S44" i="7" s="1"/>
  <c r="O43" i="7"/>
  <c r="K43" i="7"/>
  <c r="G43" i="7"/>
  <c r="R43" i="7" s="1"/>
  <c r="S43" i="7" s="1"/>
  <c r="O42" i="7"/>
  <c r="K42" i="7"/>
  <c r="G42" i="7"/>
  <c r="R42" i="7" s="1"/>
  <c r="S42" i="7" s="1"/>
  <c r="O41" i="7"/>
  <c r="K41" i="7"/>
  <c r="G41" i="7"/>
  <c r="R41" i="7" s="1"/>
  <c r="S41" i="7" s="1"/>
  <c r="O40" i="7"/>
  <c r="K40" i="7"/>
  <c r="G40" i="7"/>
  <c r="R40" i="7" s="1"/>
  <c r="S40" i="7" s="1"/>
  <c r="O39" i="7"/>
  <c r="K39" i="7"/>
  <c r="G39" i="7"/>
  <c r="R39" i="7" s="1"/>
  <c r="S39" i="7" s="1"/>
  <c r="O38" i="7"/>
  <c r="K38" i="7"/>
  <c r="G38" i="7"/>
  <c r="R38" i="7" s="1"/>
  <c r="S38" i="7" s="1"/>
  <c r="O37" i="7"/>
  <c r="K37" i="7"/>
  <c r="G37" i="7"/>
  <c r="R37" i="7" s="1"/>
  <c r="S37" i="7" s="1"/>
  <c r="O36" i="7"/>
  <c r="K36" i="7"/>
  <c r="G36" i="7"/>
  <c r="R36" i="7" s="1"/>
  <c r="S36" i="7" s="1"/>
  <c r="O35" i="7"/>
  <c r="K35" i="7"/>
  <c r="G35" i="7"/>
  <c r="R35" i="7" s="1"/>
  <c r="S35" i="7" s="1"/>
  <c r="O34" i="7"/>
  <c r="K34" i="7"/>
  <c r="G34" i="7"/>
  <c r="R34" i="7" s="1"/>
  <c r="S34" i="7" s="1"/>
  <c r="O33" i="7"/>
  <c r="K33" i="7"/>
  <c r="G33" i="7"/>
  <c r="R33" i="7" s="1"/>
  <c r="S33" i="7" s="1"/>
  <c r="O32" i="7"/>
  <c r="O50" i="7" s="1"/>
  <c r="K32" i="7"/>
  <c r="K50" i="7" s="1"/>
  <c r="G32" i="7"/>
  <c r="G50" i="7" s="1"/>
  <c r="R50" i="7" s="1"/>
  <c r="S50" i="7" s="1"/>
  <c r="N25" i="7"/>
  <c r="M25" i="7"/>
  <c r="L25" i="7"/>
  <c r="J25" i="7"/>
  <c r="I25" i="7"/>
  <c r="H25" i="7"/>
  <c r="F25" i="7"/>
  <c r="E25" i="7"/>
  <c r="D25" i="7"/>
  <c r="O24" i="7"/>
  <c r="K24" i="7"/>
  <c r="G24" i="7"/>
  <c r="R24" i="7" s="1"/>
  <c r="C24" i="7"/>
  <c r="C25" i="7" s="1"/>
  <c r="O23" i="7"/>
  <c r="K23" i="7"/>
  <c r="G23" i="7"/>
  <c r="R23" i="7" s="1"/>
  <c r="S23" i="7" s="1"/>
  <c r="O22" i="7"/>
  <c r="K22" i="7"/>
  <c r="G22" i="7"/>
  <c r="R22" i="7" s="1"/>
  <c r="S22" i="7" s="1"/>
  <c r="O21" i="7"/>
  <c r="K21" i="7"/>
  <c r="G21" i="7"/>
  <c r="R21" i="7" s="1"/>
  <c r="S21" i="7" s="1"/>
  <c r="O20" i="7"/>
  <c r="K20" i="7"/>
  <c r="G20" i="7"/>
  <c r="R20" i="7" s="1"/>
  <c r="S20" i="7" s="1"/>
  <c r="O19" i="7"/>
  <c r="K19" i="7"/>
  <c r="G19" i="7"/>
  <c r="R19" i="7" s="1"/>
  <c r="S19" i="7" s="1"/>
  <c r="O18" i="7"/>
  <c r="K18" i="7"/>
  <c r="G18" i="7"/>
  <c r="R18" i="7" s="1"/>
  <c r="S18" i="7" s="1"/>
  <c r="O17" i="7"/>
  <c r="K17" i="7"/>
  <c r="G17" i="7"/>
  <c r="R17" i="7" s="1"/>
  <c r="S17" i="7" s="1"/>
  <c r="O16" i="7"/>
  <c r="K16" i="7"/>
  <c r="G16" i="7"/>
  <c r="R16" i="7" s="1"/>
  <c r="S16" i="7" s="1"/>
  <c r="O15" i="7"/>
  <c r="K15" i="7"/>
  <c r="G15" i="7"/>
  <c r="R15" i="7" s="1"/>
  <c r="S15" i="7" s="1"/>
  <c r="O14" i="7"/>
  <c r="K14" i="7"/>
  <c r="G14" i="7"/>
  <c r="R14" i="7" s="1"/>
  <c r="S14" i="7" s="1"/>
  <c r="O13" i="7"/>
  <c r="K13" i="7"/>
  <c r="G13" i="7"/>
  <c r="R13" i="7" s="1"/>
  <c r="S13" i="7" s="1"/>
  <c r="O12" i="7"/>
  <c r="K12" i="7"/>
  <c r="G12" i="7"/>
  <c r="R12" i="7" s="1"/>
  <c r="S12" i="7" s="1"/>
  <c r="O11" i="7"/>
  <c r="K11" i="7"/>
  <c r="G11" i="7"/>
  <c r="R11" i="7" s="1"/>
  <c r="S11" i="7" s="1"/>
  <c r="O10" i="7"/>
  <c r="K10" i="7"/>
  <c r="G10" i="7"/>
  <c r="R10" i="7" s="1"/>
  <c r="S10" i="7" s="1"/>
  <c r="O9" i="7"/>
  <c r="K9" i="7"/>
  <c r="G9" i="7"/>
  <c r="R9" i="7" s="1"/>
  <c r="S9" i="7" s="1"/>
  <c r="O8" i="7"/>
  <c r="K8" i="7"/>
  <c r="G8" i="7"/>
  <c r="R8" i="7" s="1"/>
  <c r="S8" i="7" s="1"/>
  <c r="O7" i="7"/>
  <c r="O25" i="7" s="1"/>
  <c r="K7" i="7"/>
  <c r="K25" i="7" s="1"/>
  <c r="G7" i="7"/>
  <c r="G25" i="7" s="1"/>
  <c r="R25" i="7" s="1"/>
  <c r="S25" i="7" s="1"/>
  <c r="C396" i="7" l="1"/>
  <c r="C218" i="7"/>
  <c r="D396" i="7"/>
  <c r="D218" i="7"/>
  <c r="E396" i="7"/>
  <c r="E218" i="7"/>
  <c r="H396" i="7"/>
  <c r="H218" i="7"/>
  <c r="I396" i="7"/>
  <c r="I218" i="7"/>
  <c r="L396" i="7"/>
  <c r="L218" i="7"/>
  <c r="M396" i="7"/>
  <c r="M218" i="7"/>
  <c r="F400" i="7"/>
  <c r="G400" i="7" s="1"/>
  <c r="F218" i="7"/>
  <c r="J400" i="7"/>
  <c r="K400" i="7" s="1"/>
  <c r="J218" i="7"/>
  <c r="N400" i="7"/>
  <c r="O400" i="7" s="1"/>
  <c r="N218" i="7"/>
  <c r="C410" i="7"/>
  <c r="Z410" i="7" s="1"/>
  <c r="C242" i="7"/>
  <c r="D410" i="7"/>
  <c r="D242" i="7"/>
  <c r="E410" i="7"/>
  <c r="E242" i="7"/>
  <c r="H410" i="7"/>
  <c r="H242" i="7"/>
  <c r="I410" i="7"/>
  <c r="I242" i="7"/>
  <c r="L410" i="7"/>
  <c r="L242" i="7"/>
  <c r="M410" i="7"/>
  <c r="M242" i="7"/>
  <c r="F242" i="7"/>
  <c r="X242" i="7" s="1"/>
  <c r="Z230" i="7"/>
  <c r="Z231" i="7"/>
  <c r="Z235" i="7"/>
  <c r="Z236" i="7"/>
  <c r="Z237" i="7"/>
  <c r="D267" i="7"/>
  <c r="V267" i="7" s="1"/>
  <c r="E267" i="7"/>
  <c r="W267" i="7" s="1"/>
  <c r="F267" i="7"/>
  <c r="X267" i="7" s="1"/>
  <c r="Z255" i="7"/>
  <c r="Z256" i="7"/>
  <c r="Z260" i="7"/>
  <c r="Z261" i="7"/>
  <c r="Z262" i="7"/>
  <c r="C371" i="7"/>
  <c r="C316" i="7"/>
  <c r="D371" i="7"/>
  <c r="D316" i="7"/>
  <c r="E371" i="7"/>
  <c r="E316" i="7"/>
  <c r="H371" i="7"/>
  <c r="H316" i="7"/>
  <c r="I371" i="7"/>
  <c r="I316" i="7"/>
  <c r="L371" i="7"/>
  <c r="L316" i="7"/>
  <c r="M371" i="7"/>
  <c r="M316" i="7"/>
  <c r="F375" i="7"/>
  <c r="F316" i="7"/>
  <c r="J375" i="7"/>
  <c r="K375" i="7" s="1"/>
  <c r="J316" i="7"/>
  <c r="N375" i="7"/>
  <c r="O375" i="7" s="1"/>
  <c r="N316" i="7"/>
  <c r="C389" i="7"/>
  <c r="D389" i="7"/>
  <c r="I389" i="7"/>
  <c r="M389" i="7"/>
  <c r="F340" i="7"/>
  <c r="X340" i="7" s="1"/>
  <c r="Z328" i="7"/>
  <c r="Z329" i="7"/>
  <c r="Z332" i="7"/>
  <c r="Z333" i="7"/>
  <c r="Z334" i="7"/>
  <c r="Z335" i="7"/>
  <c r="D365" i="7"/>
  <c r="V365" i="7" s="1"/>
  <c r="Z353" i="7"/>
  <c r="Z354" i="7"/>
  <c r="Z358" i="7"/>
  <c r="Z359" i="7"/>
  <c r="Z360" i="7"/>
  <c r="F365" i="7"/>
  <c r="X365" i="7" s="1"/>
  <c r="E365" i="7"/>
  <c r="W365" i="7" s="1"/>
  <c r="L389" i="7"/>
  <c r="H389" i="7"/>
  <c r="E389" i="7"/>
  <c r="K473" i="3"/>
  <c r="O473" i="3"/>
  <c r="R440" i="3"/>
  <c r="S24" i="7"/>
  <c r="S49" i="7"/>
  <c r="S73" i="7"/>
  <c r="S121" i="7"/>
  <c r="S145" i="7"/>
  <c r="S169" i="7"/>
  <c r="S177" i="7"/>
  <c r="S178" i="7"/>
  <c r="S179" i="7"/>
  <c r="S180" i="7"/>
  <c r="S181" i="7"/>
  <c r="S182" i="7"/>
  <c r="S183" i="7"/>
  <c r="S184" i="7"/>
  <c r="S185" i="7"/>
  <c r="S186" i="7"/>
  <c r="S187" i="7"/>
  <c r="S188" i="7"/>
  <c r="S189" i="7"/>
  <c r="S190" i="7"/>
  <c r="S191" i="7"/>
  <c r="S192" i="7"/>
  <c r="S217" i="7"/>
  <c r="S241" i="7"/>
  <c r="Z241" i="7"/>
  <c r="S266" i="7"/>
  <c r="Z266" i="7"/>
  <c r="Z274" i="7"/>
  <c r="Z276" i="7"/>
  <c r="Z278" i="7"/>
  <c r="Z281" i="7"/>
  <c r="Z282" i="7"/>
  <c r="Z287" i="7"/>
  <c r="Z288" i="7"/>
  <c r="Z289" i="7"/>
  <c r="Z290" i="7"/>
  <c r="S315" i="7"/>
  <c r="Z315" i="7"/>
  <c r="S339" i="7"/>
  <c r="Z339" i="7"/>
  <c r="S364" i="7"/>
  <c r="Z364" i="7"/>
  <c r="Z372" i="7"/>
  <c r="Z374" i="7"/>
  <c r="Z376" i="7"/>
  <c r="Z379" i="7"/>
  <c r="Z380" i="7"/>
  <c r="Z385" i="7"/>
  <c r="Z386" i="7"/>
  <c r="Z387" i="7"/>
  <c r="S397" i="7"/>
  <c r="S399" i="7"/>
  <c r="S401" i="7"/>
  <c r="S404" i="7"/>
  <c r="S405" i="7"/>
  <c r="R7" i="7"/>
  <c r="S7" i="7" s="1"/>
  <c r="R32" i="7"/>
  <c r="S32" i="7" s="1"/>
  <c r="R56" i="7"/>
  <c r="S56" i="7" s="1"/>
  <c r="X421" i="7"/>
  <c r="G80" i="7"/>
  <c r="K80" i="7"/>
  <c r="O80" i="7"/>
  <c r="V422" i="7"/>
  <c r="Y422" i="7" s="1"/>
  <c r="Z422" i="7" s="1"/>
  <c r="G422" i="7"/>
  <c r="R422" i="7" s="1"/>
  <c r="S422" i="7" s="1"/>
  <c r="G81" i="7"/>
  <c r="K81" i="7"/>
  <c r="O81" i="7"/>
  <c r="V423" i="7"/>
  <c r="G82" i="7"/>
  <c r="K82" i="7"/>
  <c r="O82" i="7"/>
  <c r="V424" i="7"/>
  <c r="Y424" i="7" s="1"/>
  <c r="Z424" i="7" s="1"/>
  <c r="G424" i="7"/>
  <c r="R424" i="7" s="1"/>
  <c r="S424" i="7" s="1"/>
  <c r="G83" i="7"/>
  <c r="K83" i="7"/>
  <c r="O83" i="7"/>
  <c r="G84" i="7"/>
  <c r="K84" i="7"/>
  <c r="O84" i="7"/>
  <c r="V426" i="7"/>
  <c r="Y426" i="7" s="1"/>
  <c r="Z426" i="7" s="1"/>
  <c r="G426" i="7"/>
  <c r="R426" i="7" s="1"/>
  <c r="S426" i="7" s="1"/>
  <c r="G85" i="7"/>
  <c r="K85" i="7"/>
  <c r="O85" i="7"/>
  <c r="G86" i="7"/>
  <c r="K86" i="7"/>
  <c r="O86" i="7"/>
  <c r="G87" i="7"/>
  <c r="K87" i="7"/>
  <c r="O87" i="7"/>
  <c r="V429" i="7"/>
  <c r="Y429" i="7" s="1"/>
  <c r="Z429" i="7" s="1"/>
  <c r="G429" i="7"/>
  <c r="R429" i="7" s="1"/>
  <c r="S429" i="7" s="1"/>
  <c r="G88" i="7"/>
  <c r="K88" i="7"/>
  <c r="O88" i="7"/>
  <c r="V430" i="7"/>
  <c r="Y430" i="7" s="1"/>
  <c r="Z430" i="7" s="1"/>
  <c r="G430" i="7"/>
  <c r="R430" i="7" s="1"/>
  <c r="S430" i="7" s="1"/>
  <c r="G89" i="7"/>
  <c r="K89" i="7"/>
  <c r="O89" i="7"/>
  <c r="G90" i="7"/>
  <c r="K90" i="7"/>
  <c r="O90" i="7"/>
  <c r="G91" i="7"/>
  <c r="K91" i="7"/>
  <c r="O91" i="7"/>
  <c r="G92" i="7"/>
  <c r="K92" i="7"/>
  <c r="O92" i="7"/>
  <c r="G93" i="7"/>
  <c r="K93" i="7"/>
  <c r="O93" i="7"/>
  <c r="V435" i="7"/>
  <c r="Y435" i="7" s="1"/>
  <c r="Z435" i="7" s="1"/>
  <c r="G435" i="7"/>
  <c r="R435" i="7" s="1"/>
  <c r="S435" i="7" s="1"/>
  <c r="G94" i="7"/>
  <c r="K94" i="7"/>
  <c r="O94" i="7"/>
  <c r="V436" i="7"/>
  <c r="Y436" i="7" s="1"/>
  <c r="Z436" i="7" s="1"/>
  <c r="G436" i="7"/>
  <c r="R436" i="7" s="1"/>
  <c r="S436" i="7" s="1"/>
  <c r="G95" i="7"/>
  <c r="K95" i="7"/>
  <c r="O95" i="7"/>
  <c r="V437" i="7"/>
  <c r="Y437" i="7" s="1"/>
  <c r="Z437" i="7" s="1"/>
  <c r="G437" i="7"/>
  <c r="R437" i="7" s="1"/>
  <c r="S437" i="7" s="1"/>
  <c r="G96" i="7"/>
  <c r="K96" i="7"/>
  <c r="O96" i="7"/>
  <c r="V438" i="7"/>
  <c r="Y438" i="7" s="1"/>
  <c r="Z438" i="7" s="1"/>
  <c r="G438" i="7"/>
  <c r="R438" i="7" s="1"/>
  <c r="S438" i="7" s="1"/>
  <c r="G97" i="7"/>
  <c r="K97" i="7"/>
  <c r="O97" i="7"/>
  <c r="C98" i="7"/>
  <c r="D98" i="7"/>
  <c r="E98" i="7"/>
  <c r="F98" i="7"/>
  <c r="H98" i="7"/>
  <c r="I98" i="7"/>
  <c r="J98" i="7"/>
  <c r="L98" i="7"/>
  <c r="M98" i="7"/>
  <c r="N98" i="7"/>
  <c r="R104" i="7"/>
  <c r="S104" i="7" s="1"/>
  <c r="C194" i="7"/>
  <c r="S193" i="7"/>
  <c r="Y251" i="7"/>
  <c r="Z251" i="7" s="1"/>
  <c r="C122" i="7"/>
  <c r="S122" i="7" s="1"/>
  <c r="R128" i="7"/>
  <c r="S128" i="7" s="1"/>
  <c r="R152" i="7"/>
  <c r="S152" i="7" s="1"/>
  <c r="G176" i="7"/>
  <c r="K176" i="7"/>
  <c r="K194" i="7" s="1"/>
  <c r="O176" i="7"/>
  <c r="O194" i="7" s="1"/>
  <c r="G396" i="7"/>
  <c r="G200" i="7"/>
  <c r="K396" i="7"/>
  <c r="K200" i="7"/>
  <c r="O396" i="7"/>
  <c r="O200" i="7"/>
  <c r="V200" i="7"/>
  <c r="W200" i="7"/>
  <c r="Y201" i="7"/>
  <c r="Z201" i="7" s="1"/>
  <c r="G202" i="7"/>
  <c r="K202" i="7"/>
  <c r="O202" i="7"/>
  <c r="W202" i="7"/>
  <c r="Y202" i="7"/>
  <c r="Z202" i="7" s="1"/>
  <c r="Y203" i="7"/>
  <c r="Z203" i="7" s="1"/>
  <c r="G204" i="7"/>
  <c r="K204" i="7"/>
  <c r="O204" i="7"/>
  <c r="V204" i="7"/>
  <c r="W204" i="7"/>
  <c r="X204" i="7"/>
  <c r="Y205" i="7"/>
  <c r="Z205" i="7" s="1"/>
  <c r="S402" i="7"/>
  <c r="G206" i="7"/>
  <c r="K206" i="7"/>
  <c r="O206" i="7"/>
  <c r="V206" i="7"/>
  <c r="W206" i="7"/>
  <c r="X206" i="7"/>
  <c r="G207" i="7"/>
  <c r="K207" i="7"/>
  <c r="O207" i="7"/>
  <c r="V207" i="7"/>
  <c r="W207" i="7"/>
  <c r="Y208" i="7"/>
  <c r="Z208" i="7" s="1"/>
  <c r="Y209" i="7"/>
  <c r="Z209" i="7" s="1"/>
  <c r="S406" i="7"/>
  <c r="V210" i="7"/>
  <c r="W210" i="7"/>
  <c r="X210" i="7"/>
  <c r="S407" i="7"/>
  <c r="G211" i="7"/>
  <c r="K211" i="7"/>
  <c r="O211" i="7"/>
  <c r="V211" i="7"/>
  <c r="W211" i="7"/>
  <c r="X211" i="7"/>
  <c r="S408" i="7"/>
  <c r="G212" i="7"/>
  <c r="K212" i="7"/>
  <c r="O212" i="7"/>
  <c r="V212" i="7"/>
  <c r="W212" i="7"/>
  <c r="X212" i="7"/>
  <c r="S409" i="7"/>
  <c r="G213" i="7"/>
  <c r="K213" i="7"/>
  <c r="O213" i="7"/>
  <c r="V213" i="7"/>
  <c r="W213" i="7"/>
  <c r="X213" i="7"/>
  <c r="Y214" i="7"/>
  <c r="Z214" i="7" s="1"/>
  <c r="Y215" i="7"/>
  <c r="Z215" i="7" s="1"/>
  <c r="Y216" i="7"/>
  <c r="Z216" i="7" s="1"/>
  <c r="Y217" i="7"/>
  <c r="Z217" i="7" s="1"/>
  <c r="G224" i="7"/>
  <c r="K224" i="7"/>
  <c r="O224" i="7"/>
  <c r="V224" i="7"/>
  <c r="W224" i="7"/>
  <c r="G226" i="7"/>
  <c r="K226" i="7"/>
  <c r="O226" i="7"/>
  <c r="W226" i="7"/>
  <c r="Y226" i="7" s="1"/>
  <c r="G228" i="7"/>
  <c r="R228" i="7" s="1"/>
  <c r="S228" i="7" s="1"/>
  <c r="X228" i="7"/>
  <c r="Y228" i="7" s="1"/>
  <c r="G230" i="7"/>
  <c r="R230" i="7" s="1"/>
  <c r="S230" i="7" s="1"/>
  <c r="G231" i="7"/>
  <c r="R231" i="7" s="1"/>
  <c r="S231" i="7" s="1"/>
  <c r="G235" i="7"/>
  <c r="R235" i="7" s="1"/>
  <c r="S235" i="7" s="1"/>
  <c r="G236" i="7"/>
  <c r="R236" i="7" s="1"/>
  <c r="S236" i="7" s="1"/>
  <c r="G237" i="7"/>
  <c r="R237" i="7" s="1"/>
  <c r="S237" i="7" s="1"/>
  <c r="G249" i="7"/>
  <c r="K249" i="7"/>
  <c r="O249" i="7"/>
  <c r="V249" i="7"/>
  <c r="W249" i="7"/>
  <c r="G251" i="7"/>
  <c r="R251" i="7" s="1"/>
  <c r="S251" i="7" s="1"/>
  <c r="G253" i="7"/>
  <c r="R253" i="7" s="1"/>
  <c r="S253" i="7" s="1"/>
  <c r="X253" i="7"/>
  <c r="Y253" i="7" s="1"/>
  <c r="G255" i="7"/>
  <c r="R255" i="7" s="1"/>
  <c r="S255" i="7" s="1"/>
  <c r="G256" i="7"/>
  <c r="R256" i="7" s="1"/>
  <c r="S256" i="7" s="1"/>
  <c r="G260" i="7"/>
  <c r="R260" i="7" s="1"/>
  <c r="S260" i="7" s="1"/>
  <c r="G261" i="7"/>
  <c r="R261" i="7" s="1"/>
  <c r="S261" i="7" s="1"/>
  <c r="G262" i="7"/>
  <c r="R262" i="7" s="1"/>
  <c r="S262" i="7" s="1"/>
  <c r="C273" i="7"/>
  <c r="D273" i="7"/>
  <c r="E273" i="7"/>
  <c r="H273" i="7"/>
  <c r="I273" i="7"/>
  <c r="L273" i="7"/>
  <c r="M273" i="7"/>
  <c r="X273" i="7"/>
  <c r="G274" i="7"/>
  <c r="R274" i="7" s="1"/>
  <c r="S274" i="7" s="1"/>
  <c r="C275" i="7"/>
  <c r="C423" i="7" s="1"/>
  <c r="E275" i="7"/>
  <c r="G275" i="7"/>
  <c r="I275" i="7"/>
  <c r="I423" i="7" s="1"/>
  <c r="K423" i="7" s="1"/>
  <c r="M275" i="7"/>
  <c r="M423" i="7" s="1"/>
  <c r="O423" i="7" s="1"/>
  <c r="G276" i="7"/>
  <c r="R276" i="7" s="1"/>
  <c r="S276" i="7" s="1"/>
  <c r="C277" i="7"/>
  <c r="C425" i="7" s="1"/>
  <c r="D277" i="7"/>
  <c r="E277" i="7"/>
  <c r="F277" i="7"/>
  <c r="H277" i="7"/>
  <c r="I277" i="7"/>
  <c r="I425" i="7" s="1"/>
  <c r="J277" i="7"/>
  <c r="J425" i="7" s="1"/>
  <c r="L277" i="7"/>
  <c r="M277" i="7"/>
  <c r="M425" i="7" s="1"/>
  <c r="N277" i="7"/>
  <c r="N425" i="7" s="1"/>
  <c r="G278" i="7"/>
  <c r="R278" i="7" s="1"/>
  <c r="S278" i="7" s="1"/>
  <c r="C279" i="7"/>
  <c r="C427" i="7" s="1"/>
  <c r="D279" i="7"/>
  <c r="E279" i="7"/>
  <c r="F279" i="7"/>
  <c r="H279" i="7"/>
  <c r="I279" i="7"/>
  <c r="I427" i="7" s="1"/>
  <c r="J279" i="7"/>
  <c r="J427" i="7" s="1"/>
  <c r="L279" i="7"/>
  <c r="M279" i="7"/>
  <c r="M427" i="7" s="1"/>
  <c r="N279" i="7"/>
  <c r="N427" i="7" s="1"/>
  <c r="C280" i="7"/>
  <c r="C428" i="7" s="1"/>
  <c r="D280" i="7"/>
  <c r="E280" i="7"/>
  <c r="H280" i="7"/>
  <c r="I280" i="7"/>
  <c r="I428" i="7" s="1"/>
  <c r="L280" i="7"/>
  <c r="M280" i="7"/>
  <c r="M428" i="7" s="1"/>
  <c r="G281" i="7"/>
  <c r="R281" i="7" s="1"/>
  <c r="S281" i="7" s="1"/>
  <c r="G282" i="7"/>
  <c r="R282" i="7" s="1"/>
  <c r="S282" i="7" s="1"/>
  <c r="C283" i="7"/>
  <c r="D283" i="7"/>
  <c r="E283" i="7"/>
  <c r="F283" i="7"/>
  <c r="H283" i="7"/>
  <c r="I283" i="7"/>
  <c r="J283" i="7"/>
  <c r="L283" i="7"/>
  <c r="M283" i="7"/>
  <c r="N283" i="7"/>
  <c r="C284" i="7"/>
  <c r="C432" i="7" s="1"/>
  <c r="D284" i="7"/>
  <c r="E284" i="7"/>
  <c r="F284" i="7"/>
  <c r="H284" i="7"/>
  <c r="I284" i="7"/>
  <c r="I432" i="7" s="1"/>
  <c r="J284" i="7"/>
  <c r="J432" i="7" s="1"/>
  <c r="L284" i="7"/>
  <c r="M284" i="7"/>
  <c r="M432" i="7" s="1"/>
  <c r="N284" i="7"/>
  <c r="N432" i="7" s="1"/>
  <c r="C285" i="7"/>
  <c r="C433" i="7" s="1"/>
  <c r="D285" i="7"/>
  <c r="E285" i="7"/>
  <c r="F285" i="7"/>
  <c r="H285" i="7"/>
  <c r="I285" i="7"/>
  <c r="I433" i="7" s="1"/>
  <c r="J285" i="7"/>
  <c r="J433" i="7" s="1"/>
  <c r="L285" i="7"/>
  <c r="M285" i="7"/>
  <c r="M433" i="7" s="1"/>
  <c r="N285" i="7"/>
  <c r="N433" i="7" s="1"/>
  <c r="C286" i="7"/>
  <c r="C434" i="7" s="1"/>
  <c r="D286" i="7"/>
  <c r="E286" i="7"/>
  <c r="F286" i="7"/>
  <c r="H286" i="7"/>
  <c r="I286" i="7"/>
  <c r="I434" i="7" s="1"/>
  <c r="J286" i="7"/>
  <c r="J434" i="7" s="1"/>
  <c r="L286" i="7"/>
  <c r="M286" i="7"/>
  <c r="M434" i="7" s="1"/>
  <c r="N286" i="7"/>
  <c r="N434" i="7" s="1"/>
  <c r="G287" i="7"/>
  <c r="R287" i="7" s="1"/>
  <c r="S287" i="7" s="1"/>
  <c r="G288" i="7"/>
  <c r="R288" i="7" s="1"/>
  <c r="S288" i="7" s="1"/>
  <c r="G289" i="7"/>
  <c r="R289" i="7" s="1"/>
  <c r="S289" i="7" s="1"/>
  <c r="G290" i="7"/>
  <c r="R290" i="7" s="1"/>
  <c r="S290" i="7" s="1"/>
  <c r="V371" i="7"/>
  <c r="G371" i="7"/>
  <c r="W389" i="7"/>
  <c r="W371" i="7"/>
  <c r="G298" i="7"/>
  <c r="K371" i="7"/>
  <c r="K298" i="7"/>
  <c r="O371" i="7"/>
  <c r="O298" i="7"/>
  <c r="V298" i="7"/>
  <c r="W298" i="7"/>
  <c r="G300" i="7"/>
  <c r="K300" i="7"/>
  <c r="O300" i="7"/>
  <c r="W300" i="7"/>
  <c r="Y300" i="7" s="1"/>
  <c r="V375" i="7"/>
  <c r="G375" i="7"/>
  <c r="G302" i="7"/>
  <c r="K302" i="7"/>
  <c r="O302" i="7"/>
  <c r="V302" i="7"/>
  <c r="W302" i="7"/>
  <c r="X302" i="7"/>
  <c r="V377" i="7"/>
  <c r="Y377" i="7" s="1"/>
  <c r="Z377" i="7" s="1"/>
  <c r="G377" i="7"/>
  <c r="R377" i="7" s="1"/>
  <c r="S377" i="7" s="1"/>
  <c r="G304" i="7"/>
  <c r="K304" i="7"/>
  <c r="O304" i="7"/>
  <c r="V304" i="7"/>
  <c r="W304" i="7"/>
  <c r="X304" i="7"/>
  <c r="V378" i="7"/>
  <c r="F403" i="7"/>
  <c r="G403" i="7" s="1"/>
  <c r="F378" i="7"/>
  <c r="F389" i="7" s="1"/>
  <c r="G305" i="7"/>
  <c r="J403" i="7"/>
  <c r="K403" i="7" s="1"/>
  <c r="J378" i="7"/>
  <c r="J428" i="7" s="1"/>
  <c r="K305" i="7"/>
  <c r="N403" i="7"/>
  <c r="O403" i="7" s="1"/>
  <c r="N378" i="7"/>
  <c r="N428" i="7" s="1"/>
  <c r="O305" i="7"/>
  <c r="V305" i="7"/>
  <c r="W305" i="7"/>
  <c r="X305" i="7"/>
  <c r="X403" i="7" s="1"/>
  <c r="V381" i="7"/>
  <c r="Y381" i="7" s="1"/>
  <c r="Z381" i="7" s="1"/>
  <c r="G381" i="7"/>
  <c r="G308" i="7"/>
  <c r="K308" i="7"/>
  <c r="O308" i="7"/>
  <c r="V308" i="7"/>
  <c r="W308" i="7"/>
  <c r="X308" i="7"/>
  <c r="V382" i="7"/>
  <c r="Y382" i="7" s="1"/>
  <c r="Z382" i="7" s="1"/>
  <c r="G382" i="7"/>
  <c r="R382" i="7" s="1"/>
  <c r="S382" i="7" s="1"/>
  <c r="G309" i="7"/>
  <c r="K309" i="7"/>
  <c r="O309" i="7"/>
  <c r="V309" i="7"/>
  <c r="W309" i="7"/>
  <c r="X309" i="7"/>
  <c r="V383" i="7"/>
  <c r="Y383" i="7" s="1"/>
  <c r="Z383" i="7" s="1"/>
  <c r="G383" i="7"/>
  <c r="R383" i="7" s="1"/>
  <c r="S383" i="7" s="1"/>
  <c r="G310" i="7"/>
  <c r="K310" i="7"/>
  <c r="O310" i="7"/>
  <c r="V310" i="7"/>
  <c r="W310" i="7"/>
  <c r="X310" i="7"/>
  <c r="V384" i="7"/>
  <c r="Y384" i="7" s="1"/>
  <c r="Z384" i="7" s="1"/>
  <c r="G384" i="7"/>
  <c r="R384" i="7" s="1"/>
  <c r="S384" i="7" s="1"/>
  <c r="G311" i="7"/>
  <c r="K311" i="7"/>
  <c r="O311" i="7"/>
  <c r="V311" i="7"/>
  <c r="W311" i="7"/>
  <c r="X311" i="7"/>
  <c r="C411" i="7"/>
  <c r="Z411" i="7" s="1"/>
  <c r="D411" i="7"/>
  <c r="E411" i="7"/>
  <c r="G322" i="7"/>
  <c r="H411" i="7"/>
  <c r="I411" i="7"/>
  <c r="K322" i="7"/>
  <c r="L411" i="7"/>
  <c r="M411" i="7"/>
  <c r="O322" i="7"/>
  <c r="V322" i="7"/>
  <c r="W322" i="7"/>
  <c r="G324" i="7"/>
  <c r="K324" i="7"/>
  <c r="O324" i="7"/>
  <c r="W324" i="7"/>
  <c r="Y324" i="7" s="1"/>
  <c r="G326" i="7"/>
  <c r="R326" i="7" s="1"/>
  <c r="S326" i="7" s="1"/>
  <c r="X326" i="7"/>
  <c r="Y326" i="7" s="1"/>
  <c r="G328" i="7"/>
  <c r="R328" i="7" s="1"/>
  <c r="S328" i="7" s="1"/>
  <c r="G329" i="7"/>
  <c r="R329" i="7" s="1"/>
  <c r="S329" i="7" s="1"/>
  <c r="G332" i="7"/>
  <c r="R332" i="7" s="1"/>
  <c r="S332" i="7" s="1"/>
  <c r="G333" i="7"/>
  <c r="R333" i="7" s="1"/>
  <c r="S333" i="7" s="1"/>
  <c r="G334" i="7"/>
  <c r="R334" i="7" s="1"/>
  <c r="S334" i="7" s="1"/>
  <c r="Y349" i="7"/>
  <c r="Z349" i="7" s="1"/>
  <c r="Y373" i="7"/>
  <c r="Z373" i="7" s="1"/>
  <c r="K373" i="7"/>
  <c r="O373" i="7"/>
  <c r="Z388" i="7"/>
  <c r="G398" i="7"/>
  <c r="K398" i="7"/>
  <c r="O398" i="7"/>
  <c r="G335" i="7"/>
  <c r="R335" i="7" s="1"/>
  <c r="S335" i="7" s="1"/>
  <c r="G347" i="7"/>
  <c r="K347" i="7"/>
  <c r="O347" i="7"/>
  <c r="V347" i="7"/>
  <c r="W347" i="7"/>
  <c r="G349" i="7"/>
  <c r="R349" i="7" s="1"/>
  <c r="S349" i="7" s="1"/>
  <c r="G351" i="7"/>
  <c r="R351" i="7" s="1"/>
  <c r="S351" i="7" s="1"/>
  <c r="X351" i="7"/>
  <c r="Y351" i="7" s="1"/>
  <c r="G353" i="7"/>
  <c r="R353" i="7" s="1"/>
  <c r="S353" i="7" s="1"/>
  <c r="G354" i="7"/>
  <c r="R354" i="7" s="1"/>
  <c r="S354" i="7" s="1"/>
  <c r="G358" i="7"/>
  <c r="R358" i="7" s="1"/>
  <c r="S358" i="7" s="1"/>
  <c r="G359" i="7"/>
  <c r="R359" i="7" s="1"/>
  <c r="S359" i="7" s="1"/>
  <c r="G360" i="7"/>
  <c r="R360" i="7" s="1"/>
  <c r="S360" i="7" s="1"/>
  <c r="X371" i="7"/>
  <c r="G372" i="7"/>
  <c r="R372" i="7" s="1"/>
  <c r="S372" i="7" s="1"/>
  <c r="G373" i="7"/>
  <c r="R373" i="7" s="1"/>
  <c r="S373" i="7" s="1"/>
  <c r="G374" i="7"/>
  <c r="R374" i="7" s="1"/>
  <c r="S374" i="7" s="1"/>
  <c r="G376" i="7"/>
  <c r="R376" i="7" s="1"/>
  <c r="S376" i="7" s="1"/>
  <c r="G379" i="7"/>
  <c r="R379" i="7" s="1"/>
  <c r="S379" i="7" s="1"/>
  <c r="G380" i="7"/>
  <c r="R380" i="7" s="1"/>
  <c r="S380" i="7" s="1"/>
  <c r="G385" i="7"/>
  <c r="R385" i="7" s="1"/>
  <c r="S385" i="7" s="1"/>
  <c r="G386" i="7"/>
  <c r="R386" i="7" s="1"/>
  <c r="S386" i="7" s="1"/>
  <c r="G387" i="7"/>
  <c r="R387" i="7" s="1"/>
  <c r="S387" i="7" s="1"/>
  <c r="G388" i="7"/>
  <c r="R388" i="7" s="1"/>
  <c r="S388" i="7" s="1"/>
  <c r="G413" i="7"/>
  <c r="K413" i="7"/>
  <c r="O413" i="7"/>
  <c r="Y365" i="7" l="1"/>
  <c r="Z365" i="7" s="1"/>
  <c r="Y267" i="7"/>
  <c r="Z267" i="7" s="1"/>
  <c r="R400" i="7"/>
  <c r="S400" i="7" s="1"/>
  <c r="O340" i="7"/>
  <c r="K340" i="7"/>
  <c r="G340" i="7"/>
  <c r="R375" i="7"/>
  <c r="S375" i="7" s="1"/>
  <c r="O316" i="7"/>
  <c r="K316" i="7"/>
  <c r="G316" i="7"/>
  <c r="L291" i="7"/>
  <c r="H291" i="7"/>
  <c r="F291" i="7"/>
  <c r="E291" i="7"/>
  <c r="D291" i="7"/>
  <c r="G218" i="7"/>
  <c r="N389" i="7"/>
  <c r="J389" i="7"/>
  <c r="X375" i="7"/>
  <c r="Y375" i="7" s="1"/>
  <c r="Z375" i="7" s="1"/>
  <c r="O410" i="7"/>
  <c r="K410" i="7"/>
  <c r="G410" i="7"/>
  <c r="R410" i="7" s="1"/>
  <c r="S410" i="7" s="1"/>
  <c r="R381" i="7"/>
  <c r="S381" i="7" s="1"/>
  <c r="N431" i="7"/>
  <c r="N439" i="7" s="1"/>
  <c r="N412" i="7" s="1"/>
  <c r="N414" i="7" s="1"/>
  <c r="N291" i="7"/>
  <c r="M431" i="7"/>
  <c r="M291" i="7"/>
  <c r="J431" i="7"/>
  <c r="J439" i="7" s="1"/>
  <c r="J412" i="7" s="1"/>
  <c r="J414" i="7" s="1"/>
  <c r="J291" i="7"/>
  <c r="I431" i="7"/>
  <c r="I291" i="7"/>
  <c r="C431" i="7"/>
  <c r="C291" i="7"/>
  <c r="Z351" i="7"/>
  <c r="Z326" i="7"/>
  <c r="Z324" i="7"/>
  <c r="R403" i="7"/>
  <c r="S403" i="7" s="1"/>
  <c r="Z300" i="7"/>
  <c r="Z253" i="7"/>
  <c r="Z228" i="7"/>
  <c r="Z226" i="7"/>
  <c r="R413" i="7"/>
  <c r="S413" i="7" s="1"/>
  <c r="Y347" i="7"/>
  <c r="R347" i="7"/>
  <c r="S347" i="7" s="1"/>
  <c r="R398" i="7"/>
  <c r="S398" i="7" s="1"/>
  <c r="X389" i="7"/>
  <c r="R324" i="7"/>
  <c r="S324" i="7" s="1"/>
  <c r="Y322" i="7"/>
  <c r="O411" i="7"/>
  <c r="K411" i="7"/>
  <c r="R340" i="7"/>
  <c r="S340" i="7" s="1"/>
  <c r="R322" i="7"/>
  <c r="S322" i="7" s="1"/>
  <c r="W340" i="7"/>
  <c r="V340" i="7"/>
  <c r="Y340" i="7" s="1"/>
  <c r="Z340" i="7" s="1"/>
  <c r="G411" i="7"/>
  <c r="R411" i="7" s="1"/>
  <c r="S411" i="7" s="1"/>
  <c r="X316" i="7"/>
  <c r="W316" i="7"/>
  <c r="V316" i="7"/>
  <c r="Y316" i="7" s="1"/>
  <c r="Z316" i="7" s="1"/>
  <c r="Y311" i="7"/>
  <c r="R311" i="7"/>
  <c r="S311" i="7" s="1"/>
  <c r="Y310" i="7"/>
  <c r="R310" i="7"/>
  <c r="S310" i="7" s="1"/>
  <c r="Y309" i="7"/>
  <c r="R309" i="7"/>
  <c r="S309" i="7" s="1"/>
  <c r="Y308" i="7"/>
  <c r="R308" i="7"/>
  <c r="S308" i="7" s="1"/>
  <c r="Y305" i="7"/>
  <c r="O378" i="7"/>
  <c r="O389" i="7" s="1"/>
  <c r="K378" i="7"/>
  <c r="K389" i="7" s="1"/>
  <c r="R305" i="7"/>
  <c r="S305" i="7" s="1"/>
  <c r="X378" i="7"/>
  <c r="G378" i="7"/>
  <c r="R378" i="7" s="1"/>
  <c r="S378" i="7" s="1"/>
  <c r="Y378" i="7"/>
  <c r="Z378" i="7" s="1"/>
  <c r="Y304" i="7"/>
  <c r="R304" i="7"/>
  <c r="S304" i="7" s="1"/>
  <c r="Y302" i="7"/>
  <c r="R302" i="7"/>
  <c r="S302" i="7" s="1"/>
  <c r="R300" i="7"/>
  <c r="S300" i="7" s="1"/>
  <c r="Y298" i="7"/>
  <c r="R316" i="7"/>
  <c r="S316" i="7" s="1"/>
  <c r="R298" i="7"/>
  <c r="S298" i="7" s="1"/>
  <c r="R371" i="7"/>
  <c r="S371" i="7" s="1"/>
  <c r="Y371" i="7"/>
  <c r="Z371" i="7" s="1"/>
  <c r="V389" i="7"/>
  <c r="Y389" i="7" s="1"/>
  <c r="Z389" i="7" s="1"/>
  <c r="O286" i="7"/>
  <c r="K286" i="7"/>
  <c r="X286" i="7"/>
  <c r="W286" i="7"/>
  <c r="V286" i="7"/>
  <c r="Y286" i="7" s="1"/>
  <c r="Z286" i="7" s="1"/>
  <c r="G286" i="7"/>
  <c r="R286" i="7" s="1"/>
  <c r="S286" i="7" s="1"/>
  <c r="O285" i="7"/>
  <c r="K285" i="7"/>
  <c r="X285" i="7"/>
  <c r="W285" i="7"/>
  <c r="V285" i="7"/>
  <c r="Y285" i="7" s="1"/>
  <c r="Z285" i="7" s="1"/>
  <c r="G285" i="7"/>
  <c r="R285" i="7" s="1"/>
  <c r="S285" i="7" s="1"/>
  <c r="O284" i="7"/>
  <c r="K284" i="7"/>
  <c r="X284" i="7"/>
  <c r="W284" i="7"/>
  <c r="V284" i="7"/>
  <c r="Y284" i="7" s="1"/>
  <c r="Z284" i="7" s="1"/>
  <c r="G284" i="7"/>
  <c r="R284" i="7" s="1"/>
  <c r="S284" i="7" s="1"/>
  <c r="O283" i="7"/>
  <c r="K283" i="7"/>
  <c r="X283" i="7"/>
  <c r="W283" i="7"/>
  <c r="V283" i="7"/>
  <c r="Y283" i="7" s="1"/>
  <c r="Z283" i="7" s="1"/>
  <c r="G283" i="7"/>
  <c r="O280" i="7"/>
  <c r="K280" i="7"/>
  <c r="W280" i="7"/>
  <c r="V280" i="7"/>
  <c r="Y280" i="7" s="1"/>
  <c r="Z280" i="7" s="1"/>
  <c r="G280" i="7"/>
  <c r="R280" i="7" s="1"/>
  <c r="S280" i="7" s="1"/>
  <c r="O279" i="7"/>
  <c r="K279" i="7"/>
  <c r="X279" i="7"/>
  <c r="W279" i="7"/>
  <c r="V279" i="7"/>
  <c r="Y279" i="7" s="1"/>
  <c r="Z279" i="7" s="1"/>
  <c r="G279" i="7"/>
  <c r="R279" i="7" s="1"/>
  <c r="S279" i="7" s="1"/>
  <c r="O277" i="7"/>
  <c r="K277" i="7"/>
  <c r="X277" i="7"/>
  <c r="W277" i="7"/>
  <c r="V277" i="7"/>
  <c r="Y277" i="7" s="1"/>
  <c r="Z277" i="7" s="1"/>
  <c r="G277" i="7"/>
  <c r="R277" i="7" s="1"/>
  <c r="S277" i="7" s="1"/>
  <c r="W275" i="7"/>
  <c r="Y275" i="7" s="1"/>
  <c r="Z275" i="7" s="1"/>
  <c r="O273" i="7"/>
  <c r="K273" i="7"/>
  <c r="W291" i="7"/>
  <c r="W273" i="7"/>
  <c r="V291" i="7"/>
  <c r="V273" i="7"/>
  <c r="Y273" i="7" s="1"/>
  <c r="Z273" i="7" s="1"/>
  <c r="G273" i="7"/>
  <c r="Y249" i="7"/>
  <c r="R249" i="7"/>
  <c r="S249" i="7" s="1"/>
  <c r="W242" i="7"/>
  <c r="V242" i="7"/>
  <c r="Y242" i="7" s="1"/>
  <c r="Z242" i="7" s="1"/>
  <c r="R226" i="7"/>
  <c r="S226" i="7" s="1"/>
  <c r="Y224" i="7"/>
  <c r="R224" i="7"/>
  <c r="S224" i="7" s="1"/>
  <c r="X218" i="7"/>
  <c r="X414" i="7" s="1"/>
  <c r="W218" i="7"/>
  <c r="W414" i="7" s="1"/>
  <c r="V218" i="7"/>
  <c r="X409" i="7"/>
  <c r="W409" i="7"/>
  <c r="V409" i="7"/>
  <c r="Y409" i="7" s="1"/>
  <c r="Z409" i="7" s="1"/>
  <c r="Y213" i="7"/>
  <c r="Z213" i="7" s="1"/>
  <c r="R213" i="7"/>
  <c r="S213" i="7" s="1"/>
  <c r="X408" i="7"/>
  <c r="W408" i="7"/>
  <c r="V408" i="7"/>
  <c r="Y408" i="7" s="1"/>
  <c r="Z408" i="7" s="1"/>
  <c r="Y212" i="7"/>
  <c r="Z212" i="7" s="1"/>
  <c r="R212" i="7"/>
  <c r="S212" i="7" s="1"/>
  <c r="X407" i="7"/>
  <c r="W407" i="7"/>
  <c r="V407" i="7"/>
  <c r="Y407" i="7" s="1"/>
  <c r="Z407" i="7" s="1"/>
  <c r="Y211" i="7"/>
  <c r="Z211" i="7" s="1"/>
  <c r="R211" i="7"/>
  <c r="S211" i="7" s="1"/>
  <c r="X406" i="7"/>
  <c r="W406" i="7"/>
  <c r="V406" i="7"/>
  <c r="Y406" i="7" s="1"/>
  <c r="Z406" i="7" s="1"/>
  <c r="Y210" i="7"/>
  <c r="Z210" i="7" s="1"/>
  <c r="W403" i="7"/>
  <c r="V403" i="7"/>
  <c r="Y403" i="7" s="1"/>
  <c r="Z403" i="7" s="1"/>
  <c r="Y207" i="7"/>
  <c r="Z207" i="7" s="1"/>
  <c r="R207" i="7"/>
  <c r="S207" i="7" s="1"/>
  <c r="X402" i="7"/>
  <c r="W402" i="7"/>
  <c r="V402" i="7"/>
  <c r="Y402" i="7" s="1"/>
  <c r="Z402" i="7" s="1"/>
  <c r="Y206" i="7"/>
  <c r="Z206" i="7" s="1"/>
  <c r="R206" i="7"/>
  <c r="S206" i="7" s="1"/>
  <c r="X400" i="7"/>
  <c r="W400" i="7"/>
  <c r="V400" i="7"/>
  <c r="Y400" i="7" s="1"/>
  <c r="Z400" i="7" s="1"/>
  <c r="Y204" i="7"/>
  <c r="Z204" i="7" s="1"/>
  <c r="R204" i="7"/>
  <c r="S204" i="7" s="1"/>
  <c r="W398" i="7"/>
  <c r="Y398" i="7" s="1"/>
  <c r="Z398" i="7" s="1"/>
  <c r="R202" i="7"/>
  <c r="S202" i="7" s="1"/>
  <c r="W396" i="7"/>
  <c r="V396" i="7"/>
  <c r="Y396" i="7" s="1"/>
  <c r="Z396" i="7" s="1"/>
  <c r="Y200" i="7"/>
  <c r="Z200" i="7" s="1"/>
  <c r="R200" i="7"/>
  <c r="S200" i="7" s="1"/>
  <c r="R396" i="7"/>
  <c r="S396" i="7" s="1"/>
  <c r="G194" i="7"/>
  <c r="R194" i="7" s="1"/>
  <c r="S194" i="7" s="1"/>
  <c r="R176" i="7"/>
  <c r="S176" i="7" s="1"/>
  <c r="O275" i="7"/>
  <c r="K275" i="7"/>
  <c r="R275" i="7" s="1"/>
  <c r="S275" i="7" s="1"/>
  <c r="X291" i="7"/>
  <c r="R97" i="7"/>
  <c r="S97" i="7" s="1"/>
  <c r="R96" i="7"/>
  <c r="S96" i="7" s="1"/>
  <c r="R95" i="7"/>
  <c r="S95" i="7" s="1"/>
  <c r="R94" i="7"/>
  <c r="S94" i="7" s="1"/>
  <c r="L434" i="7"/>
  <c r="O434" i="7" s="1"/>
  <c r="H434" i="7"/>
  <c r="K434" i="7" s="1"/>
  <c r="R93" i="7"/>
  <c r="S93" i="7" s="1"/>
  <c r="F434" i="7"/>
  <c r="X434" i="7" s="1"/>
  <c r="E434" i="7"/>
  <c r="W434" i="7" s="1"/>
  <c r="D434" i="7"/>
  <c r="L433" i="7"/>
  <c r="O433" i="7" s="1"/>
  <c r="H433" i="7"/>
  <c r="K433" i="7" s="1"/>
  <c r="R92" i="7"/>
  <c r="S92" i="7" s="1"/>
  <c r="F433" i="7"/>
  <c r="X433" i="7" s="1"/>
  <c r="E433" i="7"/>
  <c r="W433" i="7" s="1"/>
  <c r="D433" i="7"/>
  <c r="L432" i="7"/>
  <c r="O432" i="7" s="1"/>
  <c r="H432" i="7"/>
  <c r="K432" i="7" s="1"/>
  <c r="R91" i="7"/>
  <c r="S91" i="7" s="1"/>
  <c r="F432" i="7"/>
  <c r="X432" i="7" s="1"/>
  <c r="E432" i="7"/>
  <c r="W432" i="7" s="1"/>
  <c r="D432" i="7"/>
  <c r="L431" i="7"/>
  <c r="H431" i="7"/>
  <c r="R90" i="7"/>
  <c r="S90" i="7" s="1"/>
  <c r="F431" i="7"/>
  <c r="E431" i="7"/>
  <c r="D431" i="7"/>
  <c r="R89" i="7"/>
  <c r="S89" i="7" s="1"/>
  <c r="R88" i="7"/>
  <c r="S88" i="7" s="1"/>
  <c r="L428" i="7"/>
  <c r="O428" i="7" s="1"/>
  <c r="H428" i="7"/>
  <c r="K428" i="7" s="1"/>
  <c r="R87" i="7"/>
  <c r="S87" i="7" s="1"/>
  <c r="F428" i="7"/>
  <c r="X428" i="7" s="1"/>
  <c r="E428" i="7"/>
  <c r="W428" i="7" s="1"/>
  <c r="D428" i="7"/>
  <c r="L427" i="7"/>
  <c r="O427" i="7" s="1"/>
  <c r="H427" i="7"/>
  <c r="K427" i="7" s="1"/>
  <c r="R86" i="7"/>
  <c r="S86" i="7" s="1"/>
  <c r="F427" i="7"/>
  <c r="X427" i="7" s="1"/>
  <c r="E427" i="7"/>
  <c r="W427" i="7" s="1"/>
  <c r="D427" i="7"/>
  <c r="R85" i="7"/>
  <c r="S85" i="7" s="1"/>
  <c r="L425" i="7"/>
  <c r="O425" i="7" s="1"/>
  <c r="H425" i="7"/>
  <c r="K425" i="7" s="1"/>
  <c r="R84" i="7"/>
  <c r="S84" i="7" s="1"/>
  <c r="F425" i="7"/>
  <c r="E425" i="7"/>
  <c r="W425" i="7" s="1"/>
  <c r="D425" i="7"/>
  <c r="R83" i="7"/>
  <c r="S83" i="7" s="1"/>
  <c r="R82" i="7"/>
  <c r="S82" i="7" s="1"/>
  <c r="E423" i="7"/>
  <c r="R81" i="7"/>
  <c r="S81" i="7" s="1"/>
  <c r="O98" i="7"/>
  <c r="M421" i="7"/>
  <c r="L421" i="7"/>
  <c r="K98" i="7"/>
  <c r="I421" i="7"/>
  <c r="H421" i="7"/>
  <c r="G98" i="7"/>
  <c r="R98" i="7" s="1"/>
  <c r="S98" i="7" s="1"/>
  <c r="R80" i="7"/>
  <c r="S80" i="7" s="1"/>
  <c r="E421" i="7"/>
  <c r="D421" i="7"/>
  <c r="C421" i="7"/>
  <c r="D439" i="7" l="1"/>
  <c r="D412" i="7" s="1"/>
  <c r="K291" i="7"/>
  <c r="O291" i="7"/>
  <c r="C439" i="7"/>
  <c r="C412" i="7" s="1"/>
  <c r="I439" i="7"/>
  <c r="I412" i="7" s="1"/>
  <c r="I414" i="7" s="1"/>
  <c r="M439" i="7"/>
  <c r="M412" i="7" s="1"/>
  <c r="M414" i="7" s="1"/>
  <c r="G389" i="7"/>
  <c r="R389" i="7" s="1"/>
  <c r="S389" i="7" s="1"/>
  <c r="D414" i="7"/>
  <c r="W431" i="7"/>
  <c r="E439" i="7"/>
  <c r="E412" i="7" s="1"/>
  <c r="E414" i="7" s="1"/>
  <c r="X431" i="7"/>
  <c r="F439" i="7"/>
  <c r="F412" i="7" s="1"/>
  <c r="F414" i="7" s="1"/>
  <c r="K431" i="7"/>
  <c r="H439" i="7"/>
  <c r="H412" i="7" s="1"/>
  <c r="O431" i="7"/>
  <c r="L439" i="7"/>
  <c r="L412" i="7" s="1"/>
  <c r="R283" i="7"/>
  <c r="S283" i="7" s="1"/>
  <c r="G291" i="7"/>
  <c r="C414" i="7"/>
  <c r="Z412" i="7"/>
  <c r="V421" i="7"/>
  <c r="G421" i="7"/>
  <c r="W421" i="7"/>
  <c r="K421" i="7"/>
  <c r="O421" i="7"/>
  <c r="W423" i="7"/>
  <c r="Y423" i="7" s="1"/>
  <c r="Z423" i="7" s="1"/>
  <c r="G423" i="7"/>
  <c r="R423" i="7" s="1"/>
  <c r="S423" i="7" s="1"/>
  <c r="V425" i="7"/>
  <c r="G425" i="7"/>
  <c r="R425" i="7" s="1"/>
  <c r="S425" i="7" s="1"/>
  <c r="X425" i="7"/>
  <c r="V427" i="7"/>
  <c r="Y427" i="7" s="1"/>
  <c r="Z427" i="7" s="1"/>
  <c r="G427" i="7"/>
  <c r="R427" i="7" s="1"/>
  <c r="S427" i="7" s="1"/>
  <c r="V428" i="7"/>
  <c r="Y428" i="7" s="1"/>
  <c r="Z428" i="7" s="1"/>
  <c r="G428" i="7"/>
  <c r="R428" i="7" s="1"/>
  <c r="S428" i="7" s="1"/>
  <c r="V431" i="7"/>
  <c r="Y431" i="7" s="1"/>
  <c r="Z431" i="7" s="1"/>
  <c r="G431" i="7"/>
  <c r="V432" i="7"/>
  <c r="Y432" i="7" s="1"/>
  <c r="Z432" i="7" s="1"/>
  <c r="G432" i="7"/>
  <c r="R432" i="7" s="1"/>
  <c r="S432" i="7" s="1"/>
  <c r="V433" i="7"/>
  <c r="Y433" i="7" s="1"/>
  <c r="Z433" i="7" s="1"/>
  <c r="G433" i="7"/>
  <c r="R433" i="7" s="1"/>
  <c r="S433" i="7" s="1"/>
  <c r="V434" i="7"/>
  <c r="Y434" i="7" s="1"/>
  <c r="Z434" i="7" s="1"/>
  <c r="G434" i="7"/>
  <c r="R434" i="7" s="1"/>
  <c r="S434" i="7" s="1"/>
  <c r="V414" i="7"/>
  <c r="Y414" i="7" s="1"/>
  <c r="Z414" i="7" s="1"/>
  <c r="Y218" i="7"/>
  <c r="Z218" i="7" s="1"/>
  <c r="Z224" i="7"/>
  <c r="Z249" i="7"/>
  <c r="R273" i="7"/>
  <c r="S273" i="7" s="1"/>
  <c r="Y291" i="7"/>
  <c r="Z291" i="7" s="1"/>
  <c r="Z298" i="7"/>
  <c r="Z302" i="7"/>
  <c r="Z304" i="7"/>
  <c r="Z305" i="7"/>
  <c r="Z308" i="7"/>
  <c r="Z309" i="7"/>
  <c r="Z310" i="7"/>
  <c r="Z311" i="7"/>
  <c r="Z322" i="7"/>
  <c r="Z347" i="7"/>
  <c r="O439" i="7" l="1"/>
  <c r="K439" i="7"/>
  <c r="R431" i="7"/>
  <c r="S431" i="7" s="1"/>
  <c r="G439" i="7"/>
  <c r="L414" i="7"/>
  <c r="O412" i="7"/>
  <c r="O414" i="7" s="1"/>
  <c r="H414" i="7"/>
  <c r="K412" i="7"/>
  <c r="K414" i="7" s="1"/>
  <c r="G412" i="7"/>
  <c r="R291" i="7"/>
  <c r="S291" i="7" s="1"/>
  <c r="F442" i="7"/>
  <c r="X439" i="7"/>
  <c r="Y425" i="7"/>
  <c r="Z425" i="7" s="1"/>
  <c r="E442" i="7"/>
  <c r="W439" i="7"/>
  <c r="R439" i="7"/>
  <c r="S439" i="7" s="1"/>
  <c r="R421" i="7"/>
  <c r="S421" i="7" s="1"/>
  <c r="Y421" i="7"/>
  <c r="Z421" i="7" s="1"/>
  <c r="D442" i="7"/>
  <c r="C442" i="7" s="1"/>
  <c r="V439" i="7"/>
  <c r="Y439" i="7" s="1"/>
  <c r="Z439" i="7" s="1"/>
  <c r="E261" i="4"/>
  <c r="D261" i="4"/>
  <c r="J260" i="4"/>
  <c r="I260" i="4"/>
  <c r="J305" i="4"/>
  <c r="H305" i="4"/>
  <c r="J328" i="4"/>
  <c r="I328" i="4"/>
  <c r="N253" i="4"/>
  <c r="J253" i="4"/>
  <c r="D253" i="4"/>
  <c r="G414" i="7" l="1"/>
  <c r="R414" i="7" s="1"/>
  <c r="S414" i="7" s="1"/>
  <c r="R412" i="7"/>
  <c r="S412" i="7" s="1"/>
  <c r="AD397" i="4"/>
  <c r="AE397" i="4"/>
  <c r="AD399" i="4"/>
  <c r="AE399" i="4"/>
  <c r="AD401" i="4"/>
  <c r="AE401" i="4"/>
  <c r="AD404" i="4"/>
  <c r="AE404" i="4"/>
  <c r="AD405" i="4"/>
  <c r="AE405" i="4"/>
  <c r="AD410" i="4"/>
  <c r="AE410" i="4"/>
  <c r="AD411" i="4"/>
  <c r="AE411" i="4"/>
  <c r="AD412" i="4"/>
  <c r="AE412" i="4"/>
  <c r="AD413" i="4"/>
  <c r="AE413" i="4"/>
  <c r="AC362" i="4"/>
  <c r="AC411" i="4" s="1"/>
  <c r="AC363" i="4"/>
  <c r="AC412" i="4" s="1"/>
  <c r="AC364" i="4"/>
  <c r="AC413" i="4" s="1"/>
  <c r="AF362" i="4"/>
  <c r="AF363" i="4"/>
  <c r="AF364" i="4"/>
  <c r="AF263" i="4"/>
  <c r="AF264" i="4"/>
  <c r="AF265" i="4"/>
  <c r="AF266" i="4"/>
  <c r="AF201" i="4"/>
  <c r="AF203" i="4"/>
  <c r="AF205" i="4"/>
  <c r="AF208" i="4"/>
  <c r="AF209" i="4"/>
  <c r="AF214" i="4"/>
  <c r="AF215" i="4"/>
  <c r="AF411" i="4" s="1"/>
  <c r="AF216" i="4"/>
  <c r="AF412" i="4" s="1"/>
  <c r="AF217" i="4"/>
  <c r="AF413" i="4" s="1"/>
  <c r="N405" i="4" l="1"/>
  <c r="M405" i="4"/>
  <c r="L405" i="4"/>
  <c r="N404" i="4"/>
  <c r="M404" i="4"/>
  <c r="L404" i="4"/>
  <c r="N401" i="4"/>
  <c r="M401" i="4"/>
  <c r="L401" i="4"/>
  <c r="N399" i="4"/>
  <c r="M399" i="4"/>
  <c r="L399" i="4"/>
  <c r="N398" i="4"/>
  <c r="L398" i="4"/>
  <c r="N397" i="4"/>
  <c r="M397" i="4"/>
  <c r="L397" i="4"/>
  <c r="N396" i="4"/>
  <c r="J405" i="4"/>
  <c r="I405" i="4"/>
  <c r="H405" i="4"/>
  <c r="J404" i="4"/>
  <c r="I404" i="4"/>
  <c r="H404" i="4"/>
  <c r="J401" i="4"/>
  <c r="I401" i="4"/>
  <c r="H401" i="4"/>
  <c r="J399" i="4"/>
  <c r="I399" i="4"/>
  <c r="H399" i="4"/>
  <c r="J398" i="4"/>
  <c r="H398" i="4"/>
  <c r="J397" i="4"/>
  <c r="I397" i="4"/>
  <c r="H397" i="4"/>
  <c r="J396" i="4"/>
  <c r="F396" i="4"/>
  <c r="D397" i="4"/>
  <c r="E397" i="4"/>
  <c r="F397" i="4"/>
  <c r="D398" i="4"/>
  <c r="F398" i="4"/>
  <c r="D399" i="4"/>
  <c r="E399" i="4"/>
  <c r="F399" i="4"/>
  <c r="D401" i="4"/>
  <c r="E401" i="4"/>
  <c r="F401" i="4"/>
  <c r="D404" i="4"/>
  <c r="E404" i="4"/>
  <c r="F404" i="4"/>
  <c r="D405" i="4"/>
  <c r="E405" i="4"/>
  <c r="F405" i="4"/>
  <c r="C397" i="4"/>
  <c r="C399" i="4"/>
  <c r="C401" i="4"/>
  <c r="C404" i="4"/>
  <c r="C405" i="4"/>
  <c r="N413" i="4"/>
  <c r="L413" i="4"/>
  <c r="J413" i="4"/>
  <c r="H413" i="4"/>
  <c r="F413" i="4"/>
  <c r="D413" i="4"/>
  <c r="N412" i="4"/>
  <c r="L412" i="4"/>
  <c r="J412" i="4"/>
  <c r="H412" i="4"/>
  <c r="F412" i="4"/>
  <c r="D412" i="4"/>
  <c r="N411" i="4"/>
  <c r="J411" i="4"/>
  <c r="F411" i="4"/>
  <c r="N410" i="4"/>
  <c r="J410" i="4"/>
  <c r="F410" i="4"/>
  <c r="O405" i="4"/>
  <c r="K405" i="4"/>
  <c r="G405" i="4"/>
  <c r="R405" i="4" s="1"/>
  <c r="S405" i="4" s="1"/>
  <c r="O404" i="4"/>
  <c r="K404" i="4"/>
  <c r="G404" i="4"/>
  <c r="R404" i="4" s="1"/>
  <c r="S404" i="4" s="1"/>
  <c r="O401" i="4"/>
  <c r="K401" i="4"/>
  <c r="G401" i="4"/>
  <c r="R401" i="4" s="1"/>
  <c r="S401" i="4" s="1"/>
  <c r="O399" i="4"/>
  <c r="K399" i="4"/>
  <c r="G399" i="4"/>
  <c r="R399" i="4" s="1"/>
  <c r="S399" i="4" s="1"/>
  <c r="O397" i="4"/>
  <c r="K397" i="4"/>
  <c r="G397" i="4"/>
  <c r="R397" i="4" s="1"/>
  <c r="S397" i="4" s="1"/>
  <c r="X364" i="4"/>
  <c r="W364" i="4"/>
  <c r="V364" i="4"/>
  <c r="Y364" i="4" s="1"/>
  <c r="AH364" i="4" s="1"/>
  <c r="X363" i="4"/>
  <c r="W363" i="4"/>
  <c r="V363" i="4"/>
  <c r="Y363" i="4" s="1"/>
  <c r="X362" i="4"/>
  <c r="W362" i="4"/>
  <c r="V362" i="4"/>
  <c r="Y362" i="4" s="1"/>
  <c r="X361" i="4"/>
  <c r="W361" i="4"/>
  <c r="V361" i="4"/>
  <c r="Y361" i="4" s="1"/>
  <c r="X356" i="4"/>
  <c r="W356" i="4"/>
  <c r="V356" i="4"/>
  <c r="Y356" i="4" s="1"/>
  <c r="X355" i="4"/>
  <c r="W355" i="4"/>
  <c r="V355" i="4"/>
  <c r="Y355" i="4" s="1"/>
  <c r="X352" i="4"/>
  <c r="W352" i="4"/>
  <c r="V352" i="4"/>
  <c r="Y352" i="4" s="1"/>
  <c r="X350" i="4"/>
  <c r="W350" i="4"/>
  <c r="V350" i="4"/>
  <c r="Y350" i="4" s="1"/>
  <c r="X349" i="4"/>
  <c r="V349" i="4"/>
  <c r="X348" i="4"/>
  <c r="W348" i="4"/>
  <c r="V348" i="4"/>
  <c r="Y348" i="4" s="1"/>
  <c r="X347" i="4"/>
  <c r="X339" i="4"/>
  <c r="W339" i="4"/>
  <c r="V339" i="4"/>
  <c r="Y339" i="4" s="1"/>
  <c r="X338" i="4"/>
  <c r="W338" i="4"/>
  <c r="V338" i="4"/>
  <c r="Y338" i="4" s="1"/>
  <c r="Z338" i="4" s="1"/>
  <c r="X337" i="4"/>
  <c r="W337" i="4"/>
  <c r="V337" i="4"/>
  <c r="Y337" i="4" s="1"/>
  <c r="Z337" i="4" s="1"/>
  <c r="X336" i="4"/>
  <c r="W336" i="4"/>
  <c r="V336" i="4"/>
  <c r="Y336" i="4" s="1"/>
  <c r="Z336" i="4" s="1"/>
  <c r="X331" i="4"/>
  <c r="W331" i="4"/>
  <c r="V331" i="4"/>
  <c r="Y331" i="4" s="1"/>
  <c r="X330" i="4"/>
  <c r="W330" i="4"/>
  <c r="V330" i="4"/>
  <c r="Y330" i="4" s="1"/>
  <c r="X327" i="4"/>
  <c r="W327" i="4"/>
  <c r="V327" i="4"/>
  <c r="Y327" i="4" s="1"/>
  <c r="X325" i="4"/>
  <c r="W325" i="4"/>
  <c r="V325" i="4"/>
  <c r="Y325" i="4" s="1"/>
  <c r="X324" i="4"/>
  <c r="V324" i="4"/>
  <c r="X323" i="4"/>
  <c r="W323" i="4"/>
  <c r="V323" i="4"/>
  <c r="Y323" i="4" s="1"/>
  <c r="X322" i="4"/>
  <c r="X315" i="4"/>
  <c r="W315" i="4"/>
  <c r="V315" i="4"/>
  <c r="Y315" i="4" s="1"/>
  <c r="X314" i="4"/>
  <c r="W314" i="4"/>
  <c r="V314" i="4"/>
  <c r="Y314" i="4" s="1"/>
  <c r="Z314" i="4" s="1"/>
  <c r="X313" i="4"/>
  <c r="W313" i="4"/>
  <c r="V313" i="4"/>
  <c r="Y313" i="4" s="1"/>
  <c r="Z313" i="4" s="1"/>
  <c r="X312" i="4"/>
  <c r="W312" i="4"/>
  <c r="V312" i="4"/>
  <c r="Y312" i="4" s="1"/>
  <c r="Z312" i="4" s="1"/>
  <c r="X307" i="4"/>
  <c r="W307" i="4"/>
  <c r="V307" i="4"/>
  <c r="Y307" i="4" s="1"/>
  <c r="X306" i="4"/>
  <c r="W306" i="4"/>
  <c r="V306" i="4"/>
  <c r="Y306" i="4" s="1"/>
  <c r="X303" i="4"/>
  <c r="W303" i="4"/>
  <c r="V303" i="4"/>
  <c r="Y303" i="4" s="1"/>
  <c r="X301" i="4"/>
  <c r="W301" i="4"/>
  <c r="V301" i="4"/>
  <c r="Y301" i="4" s="1"/>
  <c r="X300" i="4"/>
  <c r="V300" i="4"/>
  <c r="X299" i="4"/>
  <c r="W299" i="4"/>
  <c r="V299" i="4"/>
  <c r="Y299" i="4" s="1"/>
  <c r="X298" i="4"/>
  <c r="X266" i="4"/>
  <c r="W266" i="4"/>
  <c r="V266" i="4"/>
  <c r="Y266" i="4" s="1"/>
  <c r="AH266" i="4" s="1"/>
  <c r="X265" i="4"/>
  <c r="W265" i="4"/>
  <c r="V265" i="4"/>
  <c r="Y265" i="4" s="1"/>
  <c r="X264" i="4"/>
  <c r="W264" i="4"/>
  <c r="V264" i="4"/>
  <c r="Y264" i="4" s="1"/>
  <c r="X263" i="4"/>
  <c r="W263" i="4"/>
  <c r="V263" i="4"/>
  <c r="Y263" i="4" s="1"/>
  <c r="X258" i="4"/>
  <c r="W258" i="4"/>
  <c r="V258" i="4"/>
  <c r="Y258" i="4" s="1"/>
  <c r="X257" i="4"/>
  <c r="W257" i="4"/>
  <c r="V257" i="4"/>
  <c r="Y257" i="4" s="1"/>
  <c r="X256" i="4"/>
  <c r="X254" i="4"/>
  <c r="W254" i="4"/>
  <c r="V254" i="4"/>
  <c r="Y254" i="4" s="1"/>
  <c r="X252" i="4"/>
  <c r="W252" i="4"/>
  <c r="V252" i="4"/>
  <c r="Y252" i="4" s="1"/>
  <c r="Z252" i="4" s="1"/>
  <c r="X251" i="4"/>
  <c r="V251" i="4"/>
  <c r="X250" i="4"/>
  <c r="W250" i="4"/>
  <c r="V250" i="4"/>
  <c r="Y250" i="4" s="1"/>
  <c r="X249" i="4"/>
  <c r="X241" i="4"/>
  <c r="W241" i="4"/>
  <c r="V241" i="4"/>
  <c r="Y241" i="4" s="1"/>
  <c r="X240" i="4"/>
  <c r="W240" i="4"/>
  <c r="V240" i="4"/>
  <c r="Y240" i="4" s="1"/>
  <c r="Z240" i="4" s="1"/>
  <c r="X239" i="4"/>
  <c r="W239" i="4"/>
  <c r="V239" i="4"/>
  <c r="Y239" i="4" s="1"/>
  <c r="Z239" i="4" s="1"/>
  <c r="X238" i="4"/>
  <c r="W238" i="4"/>
  <c r="V238" i="4"/>
  <c r="Y238" i="4" s="1"/>
  <c r="Z238" i="4" s="1"/>
  <c r="X233" i="4"/>
  <c r="W233" i="4"/>
  <c r="V233" i="4"/>
  <c r="Y233" i="4" s="1"/>
  <c r="X232" i="4"/>
  <c r="W232" i="4"/>
  <c r="V232" i="4"/>
  <c r="Y232" i="4" s="1"/>
  <c r="X231" i="4"/>
  <c r="X229" i="4"/>
  <c r="W229" i="4"/>
  <c r="V229" i="4"/>
  <c r="Y229" i="4" s="1"/>
  <c r="X227" i="4"/>
  <c r="W227" i="4"/>
  <c r="V227" i="4"/>
  <c r="Y227" i="4" s="1"/>
  <c r="X226" i="4"/>
  <c r="V226" i="4"/>
  <c r="X225" i="4"/>
  <c r="W225" i="4"/>
  <c r="V225" i="4"/>
  <c r="Y225" i="4" s="1"/>
  <c r="X224" i="4"/>
  <c r="V201" i="4"/>
  <c r="V397" i="4" s="1"/>
  <c r="W201" i="4"/>
  <c r="W397" i="4" s="1"/>
  <c r="X201" i="4"/>
  <c r="X397" i="4" s="1"/>
  <c r="V202" i="4"/>
  <c r="V398" i="4" s="1"/>
  <c r="X202" i="4"/>
  <c r="X398" i="4" s="1"/>
  <c r="V203" i="4"/>
  <c r="V399" i="4" s="1"/>
  <c r="W203" i="4"/>
  <c r="W399" i="4" s="1"/>
  <c r="X203" i="4"/>
  <c r="X399" i="4" s="1"/>
  <c r="V205" i="4"/>
  <c r="V401" i="4" s="1"/>
  <c r="W205" i="4"/>
  <c r="W401" i="4" s="1"/>
  <c r="X205" i="4"/>
  <c r="X401" i="4" s="1"/>
  <c r="X207" i="4"/>
  <c r="V208" i="4"/>
  <c r="V404" i="4" s="1"/>
  <c r="W208" i="4"/>
  <c r="W404" i="4" s="1"/>
  <c r="X208" i="4"/>
  <c r="X404" i="4" s="1"/>
  <c r="V209" i="4"/>
  <c r="V405" i="4" s="1"/>
  <c r="W209" i="4"/>
  <c r="W405" i="4" s="1"/>
  <c r="X209" i="4"/>
  <c r="X405" i="4" s="1"/>
  <c r="V214" i="4"/>
  <c r="V410" i="4" s="1"/>
  <c r="W214" i="4"/>
  <c r="W410" i="4" s="1"/>
  <c r="X214" i="4"/>
  <c r="X410" i="4" s="1"/>
  <c r="V215" i="4"/>
  <c r="V411" i="4" s="1"/>
  <c r="W215" i="4"/>
  <c r="W411" i="4" s="1"/>
  <c r="X215" i="4"/>
  <c r="X411" i="4" s="1"/>
  <c r="V216" i="4"/>
  <c r="V412" i="4" s="1"/>
  <c r="W216" i="4"/>
  <c r="W412" i="4" s="1"/>
  <c r="X216" i="4"/>
  <c r="X412" i="4" s="1"/>
  <c r="V217" i="4"/>
  <c r="V413" i="4" s="1"/>
  <c r="W217" i="4"/>
  <c r="W413" i="4" s="1"/>
  <c r="X217" i="4"/>
  <c r="X413" i="4" s="1"/>
  <c r="X200" i="4"/>
  <c r="X396" i="4" s="1"/>
  <c r="Z225" i="4" l="1"/>
  <c r="Z227" i="4"/>
  <c r="Z229" i="4"/>
  <c r="Z232" i="4"/>
  <c r="Z233" i="4"/>
  <c r="Z250" i="4"/>
  <c r="Z254" i="4"/>
  <c r="Z257" i="4"/>
  <c r="Z258" i="4"/>
  <c r="Z263" i="4"/>
  <c r="AH263" i="4"/>
  <c r="Z264" i="4"/>
  <c r="AH264" i="4"/>
  <c r="Z265" i="4"/>
  <c r="AH265" i="4"/>
  <c r="Z299" i="4"/>
  <c r="Z301" i="4"/>
  <c r="Z303" i="4"/>
  <c r="Z306" i="4"/>
  <c r="Z307" i="4"/>
  <c r="Z323" i="4"/>
  <c r="Z325" i="4"/>
  <c r="Z327" i="4"/>
  <c r="Z330" i="4"/>
  <c r="Z331" i="4"/>
  <c r="Z348" i="4"/>
  <c r="Z350" i="4"/>
  <c r="Z352" i="4"/>
  <c r="Z355" i="4"/>
  <c r="Z356" i="4"/>
  <c r="Z361" i="4"/>
  <c r="Z362" i="4"/>
  <c r="AH362" i="4"/>
  <c r="Z363" i="4"/>
  <c r="AH363" i="4"/>
  <c r="Y413" i="4"/>
  <c r="Y412" i="4"/>
  <c r="Y411" i="4"/>
  <c r="Y410" i="4"/>
  <c r="Y405" i="4"/>
  <c r="Y404" i="4"/>
  <c r="Y401" i="4"/>
  <c r="Y399" i="4"/>
  <c r="Z399" i="4" s="1"/>
  <c r="Y397" i="4"/>
  <c r="Z404" i="4"/>
  <c r="Y217" i="4"/>
  <c r="AH217" i="4" s="1"/>
  <c r="Y216" i="4"/>
  <c r="Y215" i="4"/>
  <c r="Y214" i="4"/>
  <c r="Y209" i="4"/>
  <c r="Y208" i="4"/>
  <c r="Y205" i="4"/>
  <c r="Y203" i="4"/>
  <c r="Y201" i="4"/>
  <c r="D335" i="4"/>
  <c r="C335" i="4"/>
  <c r="H328" i="4"/>
  <c r="C328" i="4"/>
  <c r="J308" i="4"/>
  <c r="C308" i="4"/>
  <c r="H262" i="4"/>
  <c r="C262" i="4"/>
  <c r="N260" i="4"/>
  <c r="C260" i="4"/>
  <c r="N255" i="4"/>
  <c r="C255" i="4"/>
  <c r="M237" i="4"/>
  <c r="C237" i="4"/>
  <c r="I213" i="4"/>
  <c r="C213" i="4"/>
  <c r="H211" i="4"/>
  <c r="C211" i="4"/>
  <c r="Z102" i="5"/>
  <c r="AE360" i="4" s="1"/>
  <c r="Y102" i="5"/>
  <c r="AD360" i="4" s="1"/>
  <c r="X102" i="5"/>
  <c r="AC360" i="4" s="1"/>
  <c r="AF360" i="4" s="1"/>
  <c r="Z101" i="5"/>
  <c r="AE359" i="4" s="1"/>
  <c r="Y101" i="5"/>
  <c r="AD359" i="4" s="1"/>
  <c r="X101" i="5"/>
  <c r="AC359" i="4" s="1"/>
  <c r="AF359" i="4" s="1"/>
  <c r="Z100" i="5"/>
  <c r="AE358" i="4" s="1"/>
  <c r="Y100" i="5"/>
  <c r="AD358" i="4" s="1"/>
  <c r="X100" i="5"/>
  <c r="Z99" i="5"/>
  <c r="AE357" i="4" s="1"/>
  <c r="Y99" i="5"/>
  <c r="AD357" i="4" s="1"/>
  <c r="X99" i="5"/>
  <c r="Z98" i="5"/>
  <c r="AE354" i="4" s="1"/>
  <c r="Y98" i="5"/>
  <c r="AD354" i="4" s="1"/>
  <c r="X98" i="5"/>
  <c r="AC354" i="4" s="1"/>
  <c r="AF354" i="4" s="1"/>
  <c r="Z97" i="5"/>
  <c r="AE353" i="4" s="1"/>
  <c r="Y97" i="5"/>
  <c r="AD353" i="4" s="1"/>
  <c r="X97" i="5"/>
  <c r="Z96" i="5"/>
  <c r="AE351" i="4" s="1"/>
  <c r="Y96" i="5"/>
  <c r="AD351" i="4" s="1"/>
  <c r="X96" i="5"/>
  <c r="Z95" i="5"/>
  <c r="AE349" i="4" s="1"/>
  <c r="Y95" i="5"/>
  <c r="AD349" i="4" s="1"/>
  <c r="X95" i="5"/>
  <c r="Z94" i="5"/>
  <c r="AE347" i="4" s="1"/>
  <c r="Y94" i="5"/>
  <c r="AD347" i="4" s="1"/>
  <c r="X94" i="5"/>
  <c r="AC347" i="4" s="1"/>
  <c r="AF347" i="4" s="1"/>
  <c r="Z85" i="5"/>
  <c r="AE335" i="4" s="1"/>
  <c r="Y85" i="5"/>
  <c r="AD335" i="4" s="1"/>
  <c r="X85" i="5"/>
  <c r="AC335" i="4" s="1"/>
  <c r="AF335" i="4" s="1"/>
  <c r="Z84" i="5"/>
  <c r="AE334" i="4" s="1"/>
  <c r="Y84" i="5"/>
  <c r="AD334" i="4" s="1"/>
  <c r="X84" i="5"/>
  <c r="AC334" i="4" s="1"/>
  <c r="AF334" i="4" s="1"/>
  <c r="Z83" i="5"/>
  <c r="AE333" i="4" s="1"/>
  <c r="Y83" i="5"/>
  <c r="AD333" i="4" s="1"/>
  <c r="X83" i="5"/>
  <c r="Z82" i="5"/>
  <c r="AE332" i="4" s="1"/>
  <c r="Y82" i="5"/>
  <c r="AD332" i="4" s="1"/>
  <c r="X82" i="5"/>
  <c r="Z81" i="5"/>
  <c r="AE329" i="4" s="1"/>
  <c r="Y81" i="5"/>
  <c r="AD329" i="4" s="1"/>
  <c r="X81" i="5"/>
  <c r="AC329" i="4" s="1"/>
  <c r="AF329" i="4" s="1"/>
  <c r="Z80" i="5"/>
  <c r="AE328" i="4" s="1"/>
  <c r="Y80" i="5"/>
  <c r="AD328" i="4" s="1"/>
  <c r="X80" i="5"/>
  <c r="Z79" i="5"/>
  <c r="AE326" i="4" s="1"/>
  <c r="Y79" i="5"/>
  <c r="AD326" i="4" s="1"/>
  <c r="X79" i="5"/>
  <c r="Z78" i="5"/>
  <c r="AE324" i="4" s="1"/>
  <c r="Y78" i="5"/>
  <c r="AD324" i="4" s="1"/>
  <c r="X78" i="5"/>
  <c r="Z77" i="5"/>
  <c r="AE322" i="4" s="1"/>
  <c r="Y77" i="5"/>
  <c r="AD322" i="4" s="1"/>
  <c r="X77" i="5"/>
  <c r="AC322" i="4" s="1"/>
  <c r="AF322" i="4" s="1"/>
  <c r="Z68" i="5"/>
  <c r="AE311" i="4" s="1"/>
  <c r="Y68" i="5"/>
  <c r="AD311" i="4" s="1"/>
  <c r="X68" i="5"/>
  <c r="AC311" i="4" s="1"/>
  <c r="AF311" i="4" s="1"/>
  <c r="Z67" i="5"/>
  <c r="AE310" i="4" s="1"/>
  <c r="Y67" i="5"/>
  <c r="AD310" i="4" s="1"/>
  <c r="X67" i="5"/>
  <c r="AC310" i="4" s="1"/>
  <c r="AF310" i="4" s="1"/>
  <c r="Z66" i="5"/>
  <c r="AE309" i="4" s="1"/>
  <c r="Y66" i="5"/>
  <c r="AD309" i="4" s="1"/>
  <c r="X66" i="5"/>
  <c r="Z65" i="5"/>
  <c r="AE308" i="4" s="1"/>
  <c r="Y65" i="5"/>
  <c r="AD308" i="4" s="1"/>
  <c r="X65" i="5"/>
  <c r="Z64" i="5"/>
  <c r="AE305" i="4" s="1"/>
  <c r="Y64" i="5"/>
  <c r="AD305" i="4" s="1"/>
  <c r="X64" i="5"/>
  <c r="AC305" i="4" s="1"/>
  <c r="Z63" i="5"/>
  <c r="AE304" i="4" s="1"/>
  <c r="Y63" i="5"/>
  <c r="AD304" i="4" s="1"/>
  <c r="X63" i="5"/>
  <c r="Z62" i="5"/>
  <c r="AE302" i="4" s="1"/>
  <c r="Y62" i="5"/>
  <c r="AD302" i="4" s="1"/>
  <c r="X62" i="5"/>
  <c r="Z61" i="5"/>
  <c r="AE300" i="4" s="1"/>
  <c r="Y61" i="5"/>
  <c r="AD300" i="4" s="1"/>
  <c r="X61" i="5"/>
  <c r="Z60" i="5"/>
  <c r="AE298" i="4" s="1"/>
  <c r="Y60" i="5"/>
  <c r="AD298" i="4" s="1"/>
  <c r="X60" i="5"/>
  <c r="AC298" i="4" s="1"/>
  <c r="AF298" i="4" s="1"/>
  <c r="Z51" i="5"/>
  <c r="AE262" i="4" s="1"/>
  <c r="Y51" i="5"/>
  <c r="AD262" i="4" s="1"/>
  <c r="X51" i="5"/>
  <c r="AC262" i="4" s="1"/>
  <c r="AF262" i="4" s="1"/>
  <c r="Z50" i="5"/>
  <c r="AE261" i="4" s="1"/>
  <c r="Y50" i="5"/>
  <c r="AD261" i="4" s="1"/>
  <c r="X50" i="5"/>
  <c r="AC261" i="4" s="1"/>
  <c r="Z49" i="5"/>
  <c r="AE260" i="4" s="1"/>
  <c r="Y49" i="5"/>
  <c r="AD260" i="4" s="1"/>
  <c r="X49" i="5"/>
  <c r="Z48" i="5"/>
  <c r="AE259" i="4" s="1"/>
  <c r="Y48" i="5"/>
  <c r="AD259" i="4" s="1"/>
  <c r="X48" i="5"/>
  <c r="Z47" i="5"/>
  <c r="AE256" i="4" s="1"/>
  <c r="Y47" i="5"/>
  <c r="AD256" i="4" s="1"/>
  <c r="X47" i="5"/>
  <c r="AC256" i="4" s="1"/>
  <c r="AF256" i="4" s="1"/>
  <c r="Z46" i="5"/>
  <c r="AE255" i="4" s="1"/>
  <c r="Y46" i="5"/>
  <c r="AD255" i="4" s="1"/>
  <c r="X46" i="5"/>
  <c r="Z45" i="5"/>
  <c r="AE253" i="4" s="1"/>
  <c r="Y45" i="5"/>
  <c r="AD253" i="4" s="1"/>
  <c r="X45" i="5"/>
  <c r="Z44" i="5"/>
  <c r="AE251" i="4" s="1"/>
  <c r="Y44" i="5"/>
  <c r="AD251" i="4" s="1"/>
  <c r="X44" i="5"/>
  <c r="Z43" i="5"/>
  <c r="AE249" i="4" s="1"/>
  <c r="Y43" i="5"/>
  <c r="AD249" i="4" s="1"/>
  <c r="X43" i="5"/>
  <c r="AC249" i="4" s="1"/>
  <c r="AF249" i="4" s="1"/>
  <c r="Z34" i="5"/>
  <c r="AE237" i="4" s="1"/>
  <c r="Y34" i="5"/>
  <c r="AD237" i="4" s="1"/>
  <c r="X34" i="5"/>
  <c r="AC237" i="4" s="1"/>
  <c r="AF237" i="4" s="1"/>
  <c r="Z33" i="5"/>
  <c r="AE236" i="4" s="1"/>
  <c r="Y33" i="5"/>
  <c r="AD236" i="4" s="1"/>
  <c r="X33" i="5"/>
  <c r="AC236" i="4" s="1"/>
  <c r="AF236" i="4" s="1"/>
  <c r="Z32" i="5"/>
  <c r="AE235" i="4" s="1"/>
  <c r="Y32" i="5"/>
  <c r="AD235" i="4" s="1"/>
  <c r="X32" i="5"/>
  <c r="Z31" i="5"/>
  <c r="AE234" i="4" s="1"/>
  <c r="Y31" i="5"/>
  <c r="AD234" i="4" s="1"/>
  <c r="X31" i="5"/>
  <c r="Z30" i="5"/>
  <c r="AE231" i="4" s="1"/>
  <c r="Y30" i="5"/>
  <c r="AD231" i="4" s="1"/>
  <c r="X30" i="5"/>
  <c r="AC231" i="4" s="1"/>
  <c r="AF231" i="4" s="1"/>
  <c r="Z29" i="5"/>
  <c r="AE230" i="4" s="1"/>
  <c r="Y29" i="5"/>
  <c r="AD230" i="4" s="1"/>
  <c r="X29" i="5"/>
  <c r="Z28" i="5"/>
  <c r="AE228" i="4" s="1"/>
  <c r="Y28" i="5"/>
  <c r="AD228" i="4" s="1"/>
  <c r="X28" i="5"/>
  <c r="Z27" i="5"/>
  <c r="AE226" i="4" s="1"/>
  <c r="Y27" i="5"/>
  <c r="AD226" i="4" s="1"/>
  <c r="X27" i="5"/>
  <c r="Z26" i="5"/>
  <c r="AE224" i="4" s="1"/>
  <c r="Y26" i="5"/>
  <c r="AD224" i="4" s="1"/>
  <c r="X26" i="5"/>
  <c r="AC224" i="4" s="1"/>
  <c r="AF224" i="4" s="1"/>
  <c r="X8" i="5"/>
  <c r="AC202" i="4" s="1"/>
  <c r="Y8" i="5"/>
  <c r="AD202" i="4" s="1"/>
  <c r="AD398" i="4" s="1"/>
  <c r="Z8" i="5"/>
  <c r="AE202" i="4" s="1"/>
  <c r="AE398" i="4" s="1"/>
  <c r="X9" i="5"/>
  <c r="Y9" i="5"/>
  <c r="AD204" i="4" s="1"/>
  <c r="AD400" i="4" s="1"/>
  <c r="Z9" i="5"/>
  <c r="X10" i="5"/>
  <c r="AC206" i="4" s="1"/>
  <c r="Y10" i="5"/>
  <c r="AD206" i="4" s="1"/>
  <c r="Z10" i="5"/>
  <c r="AE206" i="4" s="1"/>
  <c r="X11" i="5"/>
  <c r="AC207" i="4" s="1"/>
  <c r="Y11" i="5"/>
  <c r="AD207" i="4" s="1"/>
  <c r="AD403" i="4" s="1"/>
  <c r="Z11" i="5"/>
  <c r="AE207" i="4" s="1"/>
  <c r="X12" i="5"/>
  <c r="AC210" i="4" s="1"/>
  <c r="Y12" i="5"/>
  <c r="AD210" i="4" s="1"/>
  <c r="Z12" i="5"/>
  <c r="AE210" i="4" s="1"/>
  <c r="X13" i="5"/>
  <c r="AC211" i="4" s="1"/>
  <c r="Y13" i="5"/>
  <c r="AD211" i="4" s="1"/>
  <c r="Z13" i="5"/>
  <c r="AE211" i="4" s="1"/>
  <c r="X14" i="5"/>
  <c r="AC212" i="4" s="1"/>
  <c r="Y14" i="5"/>
  <c r="AD212" i="4" s="1"/>
  <c r="Z14" i="5"/>
  <c r="AE212" i="4" s="1"/>
  <c r="AE408" i="4" s="1"/>
  <c r="X15" i="5"/>
  <c r="AC213" i="4" s="1"/>
  <c r="Y15" i="5"/>
  <c r="AD213" i="4" s="1"/>
  <c r="AD409" i="4" s="1"/>
  <c r="Z15" i="5"/>
  <c r="AE213" i="4" s="1"/>
  <c r="AE409" i="4" s="1"/>
  <c r="Z7" i="5"/>
  <c r="AE200" i="4" s="1"/>
  <c r="AE396" i="4" s="1"/>
  <c r="Y7" i="5"/>
  <c r="AD200" i="4" s="1"/>
  <c r="AD396" i="4" s="1"/>
  <c r="X7" i="5"/>
  <c r="AC200" i="4" s="1"/>
  <c r="X126" i="5"/>
  <c r="X127" i="5"/>
  <c r="Y127" i="5"/>
  <c r="Z127" i="5"/>
  <c r="Y128" i="5"/>
  <c r="Y129" i="5"/>
  <c r="Z129" i="5"/>
  <c r="X130" i="5"/>
  <c r="Y130" i="5"/>
  <c r="Z130" i="5"/>
  <c r="X131" i="5"/>
  <c r="Y131" i="5"/>
  <c r="Z131" i="5"/>
  <c r="X132" i="5"/>
  <c r="Y132" i="5"/>
  <c r="Z132" i="5"/>
  <c r="X133" i="5"/>
  <c r="Y133" i="5"/>
  <c r="Z133" i="5"/>
  <c r="X134" i="5"/>
  <c r="Y134" i="5"/>
  <c r="Z134" i="5"/>
  <c r="Y126" i="5"/>
  <c r="Z126" i="5"/>
  <c r="W127" i="5" l="1"/>
  <c r="W126" i="5"/>
  <c r="AC396" i="4"/>
  <c r="AF200" i="4"/>
  <c r="AF396" i="4" s="1"/>
  <c r="AC409" i="4"/>
  <c r="AF213" i="4"/>
  <c r="AF409" i="4" s="1"/>
  <c r="AF212" i="4"/>
  <c r="AF211" i="4"/>
  <c r="AF210" i="4"/>
  <c r="AF207" i="4"/>
  <c r="AF206" i="4"/>
  <c r="Z128" i="5"/>
  <c r="AE204" i="4"/>
  <c r="X128" i="5"/>
  <c r="W128" i="5" s="1"/>
  <c r="AC204" i="4"/>
  <c r="AF204" i="4" s="1"/>
  <c r="AF202" i="4"/>
  <c r="AC226" i="4"/>
  <c r="AF226" i="4" s="1"/>
  <c r="AC225" i="4"/>
  <c r="AC228" i="4"/>
  <c r="AF228" i="4" s="1"/>
  <c r="AC227" i="4"/>
  <c r="AF227" i="4" s="1"/>
  <c r="AH227" i="4" s="1"/>
  <c r="AC230" i="4"/>
  <c r="AF230" i="4" s="1"/>
  <c r="AC229" i="4"/>
  <c r="AC234" i="4"/>
  <c r="AC232" i="4"/>
  <c r="AF234" i="4"/>
  <c r="AC235" i="4"/>
  <c r="AF235" i="4" s="1"/>
  <c r="AC233" i="4"/>
  <c r="AC251" i="4"/>
  <c r="AF251" i="4" s="1"/>
  <c r="AC250" i="4"/>
  <c r="AF250" i="4" s="1"/>
  <c r="AH250" i="4" s="1"/>
  <c r="AC255" i="4"/>
  <c r="AF255" i="4" s="1"/>
  <c r="AC254" i="4"/>
  <c r="AF254" i="4" s="1"/>
  <c r="AH254" i="4" s="1"/>
  <c r="AC259" i="4"/>
  <c r="AF259" i="4" s="1"/>
  <c r="AC257" i="4"/>
  <c r="AF257" i="4" s="1"/>
  <c r="AH257" i="4" s="1"/>
  <c r="AC260" i="4"/>
  <c r="AC258" i="4"/>
  <c r="AF258" i="4" s="1"/>
  <c r="AH258" i="4" s="1"/>
  <c r="AD407" i="4"/>
  <c r="AD408" i="4"/>
  <c r="AC300" i="4"/>
  <c r="AF300" i="4" s="1"/>
  <c r="AC299" i="4"/>
  <c r="AF299" i="4" s="1"/>
  <c r="AH299" i="4" s="1"/>
  <c r="AC302" i="4"/>
  <c r="AF302" i="4" s="1"/>
  <c r="AC301" i="4"/>
  <c r="AF301" i="4" s="1"/>
  <c r="AH301" i="4" s="1"/>
  <c r="AC304" i="4"/>
  <c r="AF304" i="4" s="1"/>
  <c r="AC303" i="4"/>
  <c r="AF303" i="4" s="1"/>
  <c r="AH303" i="4" s="1"/>
  <c r="AC403" i="4"/>
  <c r="AC308" i="4"/>
  <c r="AF308" i="4" s="1"/>
  <c r="AC306" i="4"/>
  <c r="AF306" i="4" s="1"/>
  <c r="AH306" i="4" s="1"/>
  <c r="AC309" i="4"/>
  <c r="AF309" i="4" s="1"/>
  <c r="AC307" i="4"/>
  <c r="AF307" i="4" s="1"/>
  <c r="AH307" i="4" s="1"/>
  <c r="AC324" i="4"/>
  <c r="AF324" i="4" s="1"/>
  <c r="AC323" i="4"/>
  <c r="AF323" i="4" s="1"/>
  <c r="AH323" i="4" s="1"/>
  <c r="AC326" i="4"/>
  <c r="AF326" i="4" s="1"/>
  <c r="AC325" i="4"/>
  <c r="AF325" i="4" s="1"/>
  <c r="AH325" i="4" s="1"/>
  <c r="AC328" i="4"/>
  <c r="AC327" i="4"/>
  <c r="AF327" i="4" s="1"/>
  <c r="AH327" i="4" s="1"/>
  <c r="AE402" i="4"/>
  <c r="AC332" i="4"/>
  <c r="AF332" i="4" s="1"/>
  <c r="AC330" i="4"/>
  <c r="AF330" i="4" s="1"/>
  <c r="AH330" i="4" s="1"/>
  <c r="AC333" i="4"/>
  <c r="AF333" i="4" s="1"/>
  <c r="AC331" i="4"/>
  <c r="AF331" i="4" s="1"/>
  <c r="AH331" i="4" s="1"/>
  <c r="AC349" i="4"/>
  <c r="AF349" i="4" s="1"/>
  <c r="AC348" i="4"/>
  <c r="AF348" i="4" s="1"/>
  <c r="AH348" i="4" s="1"/>
  <c r="AC351" i="4"/>
  <c r="AF351" i="4" s="1"/>
  <c r="AC350" i="4"/>
  <c r="AF350" i="4" s="1"/>
  <c r="AH350" i="4" s="1"/>
  <c r="AC353" i="4"/>
  <c r="AF353" i="4" s="1"/>
  <c r="AC352" i="4"/>
  <c r="AF352" i="4" s="1"/>
  <c r="AH352" i="4" s="1"/>
  <c r="AC357" i="4"/>
  <c r="AC355" i="4"/>
  <c r="AF355" i="4" s="1"/>
  <c r="AH355" i="4" s="1"/>
  <c r="AC358" i="4"/>
  <c r="AF358" i="4" s="1"/>
  <c r="AC356" i="4"/>
  <c r="AF356" i="4" s="1"/>
  <c r="AH356" i="4" s="1"/>
  <c r="Z201" i="4"/>
  <c r="AH201" i="4"/>
  <c r="Z203" i="4"/>
  <c r="AH203" i="4"/>
  <c r="Z205" i="4"/>
  <c r="AH205" i="4"/>
  <c r="Z208" i="4"/>
  <c r="AH208" i="4"/>
  <c r="Z209" i="4"/>
  <c r="AH209" i="4"/>
  <c r="Z214" i="4"/>
  <c r="AH214" i="4"/>
  <c r="Z215" i="4"/>
  <c r="AH215" i="4"/>
  <c r="Z216" i="4"/>
  <c r="AH216" i="4"/>
  <c r="Z397" i="4"/>
  <c r="Z401" i="4"/>
  <c r="Z405" i="4"/>
  <c r="AC408" i="4"/>
  <c r="AF261" i="4"/>
  <c r="AE407" i="4"/>
  <c r="AF260" i="4"/>
  <c r="AE406" i="4"/>
  <c r="AD406" i="4"/>
  <c r="AF357" i="4"/>
  <c r="W130" i="5"/>
  <c r="AE403" i="4"/>
  <c r="AF305" i="4"/>
  <c r="AD402" i="4"/>
  <c r="AF328" i="4"/>
  <c r="AC253" i="4"/>
  <c r="AC400" i="4" s="1"/>
  <c r="AC252" i="4"/>
  <c r="AE400" i="4"/>
  <c r="AF253" i="4"/>
  <c r="W133" i="5"/>
  <c r="X129" i="5"/>
  <c r="W134" i="5"/>
  <c r="W132" i="5"/>
  <c r="W131" i="5"/>
  <c r="W129" i="5"/>
  <c r="J117" i="5"/>
  <c r="AC406" i="4" l="1"/>
  <c r="AC405" i="4"/>
  <c r="AF233" i="4"/>
  <c r="AC404" i="4"/>
  <c r="AF232" i="4"/>
  <c r="AC401" i="4"/>
  <c r="AF229" i="4"/>
  <c r="AC397" i="4"/>
  <c r="AF225" i="4"/>
  <c r="AF398" i="4"/>
  <c r="AC398" i="4"/>
  <c r="AC402" i="4"/>
  <c r="AC407" i="4"/>
  <c r="AF408" i="4"/>
  <c r="AF407" i="4"/>
  <c r="AF406" i="4"/>
  <c r="AF403" i="4"/>
  <c r="AF402" i="4"/>
  <c r="AC399" i="4"/>
  <c r="AF252" i="4"/>
  <c r="AF400" i="4"/>
  <c r="AF397" i="4" l="1"/>
  <c r="AG397" i="4" s="1"/>
  <c r="AH225" i="4"/>
  <c r="AF401" i="4"/>
  <c r="AG401" i="4" s="1"/>
  <c r="AH229" i="4"/>
  <c r="AF404" i="4"/>
  <c r="AG404" i="4" s="1"/>
  <c r="AH232" i="4"/>
  <c r="AF405" i="4"/>
  <c r="AG405" i="4" s="1"/>
  <c r="AH233" i="4"/>
  <c r="AF399" i="4"/>
  <c r="AG399" i="4" s="1"/>
  <c r="AH252" i="4"/>
  <c r="F354" i="4"/>
  <c r="N354" i="4"/>
  <c r="H329" i="4"/>
  <c r="J329" i="4"/>
  <c r="E322" i="4"/>
  <c r="M322" i="4"/>
  <c r="M411" i="4" s="1"/>
  <c r="J335" i="4"/>
  <c r="F329" i="4"/>
  <c r="D329" i="4"/>
  <c r="J304" i="4"/>
  <c r="N304" i="4"/>
  <c r="D298" i="4"/>
  <c r="L298" i="4"/>
  <c r="D310" i="4"/>
  <c r="H310" i="4"/>
  <c r="I255" i="4"/>
  <c r="L255" i="4"/>
  <c r="H261" i="4"/>
  <c r="F261" i="4"/>
  <c r="E253" i="4"/>
  <c r="M228" i="4"/>
  <c r="J228" i="4"/>
  <c r="I237" i="4"/>
  <c r="I226" i="4"/>
  <c r="I412" i="4" s="1"/>
  <c r="K412" i="4" s="1"/>
  <c r="I236" i="4"/>
  <c r="H224" i="4"/>
  <c r="H410" i="4" s="1"/>
  <c r="F236" i="4"/>
  <c r="F237" i="4"/>
  <c r="L212" i="4"/>
  <c r="I211" i="4"/>
  <c r="H212" i="4"/>
  <c r="E411" i="4" l="1"/>
  <c r="M360" i="4"/>
  <c r="N360" i="4"/>
  <c r="L360" i="4"/>
  <c r="J360" i="4"/>
  <c r="I360" i="4"/>
  <c r="H360" i="4"/>
  <c r="F360" i="4"/>
  <c r="X360" i="4" s="1"/>
  <c r="E360" i="4"/>
  <c r="W360" i="4" s="1"/>
  <c r="D360" i="4"/>
  <c r="V360" i="4" s="1"/>
  <c r="Y360" i="4" s="1"/>
  <c r="AH360" i="4" s="1"/>
  <c r="C360" i="4"/>
  <c r="J359" i="4"/>
  <c r="C359" i="4"/>
  <c r="N359" i="4"/>
  <c r="M359" i="4"/>
  <c r="L359" i="4"/>
  <c r="I359" i="4"/>
  <c r="H359" i="4"/>
  <c r="F359" i="4"/>
  <c r="X359" i="4" s="1"/>
  <c r="E359" i="4"/>
  <c r="W359" i="4" s="1"/>
  <c r="D359" i="4"/>
  <c r="V359" i="4" s="1"/>
  <c r="Y359" i="4" s="1"/>
  <c r="N358" i="4"/>
  <c r="M358" i="4"/>
  <c r="L358" i="4"/>
  <c r="J358" i="4"/>
  <c r="I358" i="4"/>
  <c r="H358" i="4"/>
  <c r="F358" i="4"/>
  <c r="X358" i="4" s="1"/>
  <c r="E358" i="4"/>
  <c r="W358" i="4" s="1"/>
  <c r="D358" i="4"/>
  <c r="V358" i="4" s="1"/>
  <c r="Y358" i="4" s="1"/>
  <c r="AH358" i="4" s="1"/>
  <c r="C358" i="4"/>
  <c r="V357" i="4"/>
  <c r="X357" i="4"/>
  <c r="W357" i="4"/>
  <c r="E354" i="4"/>
  <c r="M354" i="4"/>
  <c r="L354" i="4"/>
  <c r="J354" i="4"/>
  <c r="X354" i="4" s="1"/>
  <c r="I354" i="4"/>
  <c r="H354" i="4"/>
  <c r="D354" i="4"/>
  <c r="V354" i="4" s="1"/>
  <c r="C354" i="4"/>
  <c r="N353" i="4"/>
  <c r="M353" i="4"/>
  <c r="L353" i="4"/>
  <c r="J353" i="4"/>
  <c r="I353" i="4"/>
  <c r="H353" i="4"/>
  <c r="F353" i="4"/>
  <c r="X353" i="4" s="1"/>
  <c r="E353" i="4"/>
  <c r="W353" i="4" s="1"/>
  <c r="D353" i="4"/>
  <c r="V353" i="4" s="1"/>
  <c r="Y353" i="4" s="1"/>
  <c r="AH353" i="4" s="1"/>
  <c r="C353" i="4"/>
  <c r="N351" i="4"/>
  <c r="N365" i="4" s="1"/>
  <c r="M351" i="4"/>
  <c r="L351" i="4"/>
  <c r="J351" i="4"/>
  <c r="J365" i="4" s="1"/>
  <c r="I351" i="4"/>
  <c r="H351" i="4"/>
  <c r="F351" i="4"/>
  <c r="F365" i="4" s="1"/>
  <c r="E351" i="4"/>
  <c r="W351" i="4" s="1"/>
  <c r="D351" i="4"/>
  <c r="V351" i="4" s="1"/>
  <c r="C351" i="4"/>
  <c r="M349" i="4"/>
  <c r="I349" i="4"/>
  <c r="E349" i="4"/>
  <c r="W349" i="4" s="1"/>
  <c r="Y349" i="4" s="1"/>
  <c r="AH349" i="4" s="1"/>
  <c r="C349" i="4"/>
  <c r="L347" i="4"/>
  <c r="L365" i="4" s="1"/>
  <c r="M347" i="4"/>
  <c r="M365" i="4" s="1"/>
  <c r="I347" i="4"/>
  <c r="I365" i="4" s="1"/>
  <c r="H347" i="4"/>
  <c r="H365" i="4" s="1"/>
  <c r="E347" i="4"/>
  <c r="D347" i="4"/>
  <c r="C347" i="4"/>
  <c r="C365" i="4" s="1"/>
  <c r="N335" i="4"/>
  <c r="M335" i="4"/>
  <c r="L335" i="4"/>
  <c r="I335" i="4"/>
  <c r="H335" i="4"/>
  <c r="V335" i="4" s="1"/>
  <c r="F335" i="4"/>
  <c r="X335" i="4" s="1"/>
  <c r="E335" i="4"/>
  <c r="W335" i="4" s="1"/>
  <c r="F334" i="4"/>
  <c r="N334" i="4"/>
  <c r="M334" i="4"/>
  <c r="L334" i="4"/>
  <c r="J334" i="4"/>
  <c r="I334" i="4"/>
  <c r="H334" i="4"/>
  <c r="E334" i="4"/>
  <c r="W334" i="4" s="1"/>
  <c r="D334" i="4"/>
  <c r="V334" i="4" s="1"/>
  <c r="C334" i="4"/>
  <c r="H333" i="4"/>
  <c r="N333" i="4"/>
  <c r="M333" i="4"/>
  <c r="L333" i="4"/>
  <c r="J333" i="4"/>
  <c r="I333" i="4"/>
  <c r="F333" i="4"/>
  <c r="X333" i="4" s="1"/>
  <c r="E333" i="4"/>
  <c r="W333" i="4" s="1"/>
  <c r="D333" i="4"/>
  <c r="V333" i="4" s="1"/>
  <c r="Y333" i="4" s="1"/>
  <c r="AH333" i="4" s="1"/>
  <c r="C333" i="4"/>
  <c r="N332" i="4"/>
  <c r="M332" i="4"/>
  <c r="L332" i="4"/>
  <c r="J332" i="4"/>
  <c r="I332" i="4"/>
  <c r="H332" i="4"/>
  <c r="F332" i="4"/>
  <c r="X332" i="4" s="1"/>
  <c r="E332" i="4"/>
  <c r="W332" i="4" s="1"/>
  <c r="D332" i="4"/>
  <c r="V332" i="4" s="1"/>
  <c r="Y332" i="4" s="1"/>
  <c r="AH332" i="4" s="1"/>
  <c r="C332" i="4"/>
  <c r="N329" i="4"/>
  <c r="X329" i="4" s="1"/>
  <c r="M329" i="4"/>
  <c r="L329" i="4"/>
  <c r="V329" i="4" s="1"/>
  <c r="I329" i="4"/>
  <c r="E329" i="4"/>
  <c r="W329" i="4" s="1"/>
  <c r="C329" i="4"/>
  <c r="F328" i="4"/>
  <c r="N328" i="4"/>
  <c r="M328" i="4"/>
  <c r="L328" i="4"/>
  <c r="E328" i="4"/>
  <c r="W328" i="4" s="1"/>
  <c r="D328" i="4"/>
  <c r="V328" i="4" s="1"/>
  <c r="I326" i="4"/>
  <c r="N326" i="4"/>
  <c r="N340" i="4" s="1"/>
  <c r="M326" i="4"/>
  <c r="L326" i="4"/>
  <c r="J326" i="4"/>
  <c r="J340" i="4" s="1"/>
  <c r="H326" i="4"/>
  <c r="F326" i="4"/>
  <c r="E326" i="4"/>
  <c r="W326" i="4" s="1"/>
  <c r="D326" i="4"/>
  <c r="V326" i="4" s="1"/>
  <c r="C326" i="4"/>
  <c r="M324" i="4"/>
  <c r="I324" i="4"/>
  <c r="I413" i="4" s="1"/>
  <c r="K413" i="4" s="1"/>
  <c r="E324" i="4"/>
  <c r="E413" i="4" s="1"/>
  <c r="G413" i="4" s="1"/>
  <c r="C324" i="4"/>
  <c r="C413" i="4" s="1"/>
  <c r="Z413" i="4" s="1"/>
  <c r="L322" i="4"/>
  <c r="L340" i="4" s="1"/>
  <c r="I322" i="4"/>
  <c r="I411" i="4" s="1"/>
  <c r="H322" i="4"/>
  <c r="H340" i="4" s="1"/>
  <c r="D322" i="4"/>
  <c r="D411" i="4" s="1"/>
  <c r="G411" i="4" s="1"/>
  <c r="C322" i="4"/>
  <c r="N311" i="4"/>
  <c r="M311" i="4"/>
  <c r="L311" i="4"/>
  <c r="J311" i="4"/>
  <c r="I311" i="4"/>
  <c r="H311" i="4"/>
  <c r="F311" i="4"/>
  <c r="X311" i="4" s="1"/>
  <c r="E311" i="4"/>
  <c r="W311" i="4" s="1"/>
  <c r="D311" i="4"/>
  <c r="V311" i="4" s="1"/>
  <c r="Y311" i="4" s="1"/>
  <c r="AH311" i="4" s="1"/>
  <c r="C311" i="4"/>
  <c r="C409" i="4" s="1"/>
  <c r="N310" i="4"/>
  <c r="M310" i="4"/>
  <c r="L310" i="4"/>
  <c r="V310" i="4" s="1"/>
  <c r="J310" i="4"/>
  <c r="I310" i="4"/>
  <c r="F310" i="4"/>
  <c r="X310" i="4" s="1"/>
  <c r="E310" i="4"/>
  <c r="W310" i="4" s="1"/>
  <c r="C310" i="4"/>
  <c r="H309" i="4"/>
  <c r="N309" i="4"/>
  <c r="M309" i="4"/>
  <c r="L309" i="4"/>
  <c r="J309" i="4"/>
  <c r="I309" i="4"/>
  <c r="F309" i="4"/>
  <c r="X309" i="4" s="1"/>
  <c r="E309" i="4"/>
  <c r="W309" i="4" s="1"/>
  <c r="D309" i="4"/>
  <c r="V309" i="4" s="1"/>
  <c r="Y309" i="4" s="1"/>
  <c r="AH309" i="4" s="1"/>
  <c r="C309" i="4"/>
  <c r="N308" i="4"/>
  <c r="M308" i="4"/>
  <c r="L308" i="4"/>
  <c r="I308" i="4"/>
  <c r="H308" i="4"/>
  <c r="F308" i="4"/>
  <c r="X308" i="4" s="1"/>
  <c r="E308" i="4"/>
  <c r="W308" i="4" s="1"/>
  <c r="D308" i="4"/>
  <c r="V308" i="4" s="1"/>
  <c r="Y308" i="4" s="1"/>
  <c r="N305" i="4"/>
  <c r="N403" i="4" s="1"/>
  <c r="M305" i="4"/>
  <c r="L305" i="4"/>
  <c r="J403" i="4"/>
  <c r="I305" i="4"/>
  <c r="F305" i="4"/>
  <c r="E305" i="4"/>
  <c r="W305" i="4" s="1"/>
  <c r="D305" i="4"/>
  <c r="V305" i="4" s="1"/>
  <c r="C305" i="4"/>
  <c r="F120" i="5"/>
  <c r="F140" i="5" s="1"/>
  <c r="F103" i="5"/>
  <c r="F86" i="5"/>
  <c r="F69" i="5"/>
  <c r="F52" i="5"/>
  <c r="F35" i="5"/>
  <c r="L304" i="4"/>
  <c r="M304" i="4"/>
  <c r="I304" i="4"/>
  <c r="H304" i="4"/>
  <c r="F304" i="4"/>
  <c r="X304" i="4" s="1"/>
  <c r="E304" i="4"/>
  <c r="W304" i="4" s="1"/>
  <c r="D304" i="4"/>
  <c r="V304" i="4" s="1"/>
  <c r="Y304" i="4" s="1"/>
  <c r="AH304" i="4" s="1"/>
  <c r="C304" i="4"/>
  <c r="N302" i="4"/>
  <c r="N316" i="4" s="1"/>
  <c r="M302" i="4"/>
  <c r="L302" i="4"/>
  <c r="L316" i="4" s="1"/>
  <c r="J302" i="4"/>
  <c r="J316" i="4" s="1"/>
  <c r="I302" i="4"/>
  <c r="H302" i="4"/>
  <c r="F302" i="4"/>
  <c r="E302" i="4"/>
  <c r="W302" i="4" s="1"/>
  <c r="D302" i="4"/>
  <c r="C302" i="4"/>
  <c r="M300" i="4"/>
  <c r="C300" i="4"/>
  <c r="I300" i="4"/>
  <c r="E300" i="4"/>
  <c r="W300" i="4" s="1"/>
  <c r="Y300" i="4" s="1"/>
  <c r="C298" i="4"/>
  <c r="C316" i="4" s="1"/>
  <c r="M298" i="4"/>
  <c r="M316" i="4" s="1"/>
  <c r="I298" i="4"/>
  <c r="I316" i="4" s="1"/>
  <c r="H298" i="4"/>
  <c r="E298" i="4"/>
  <c r="E316" i="4" s="1"/>
  <c r="C224" i="4"/>
  <c r="C410" i="4" s="1"/>
  <c r="Z410" i="4" s="1"/>
  <c r="M224" i="4"/>
  <c r="M410" i="4" s="1"/>
  <c r="E340" i="4" l="1"/>
  <c r="Z300" i="4"/>
  <c r="AH300" i="4"/>
  <c r="Z308" i="4"/>
  <c r="AH308" i="4"/>
  <c r="Z359" i="4"/>
  <c r="AH359" i="4"/>
  <c r="X305" i="4"/>
  <c r="X403" i="4" s="1"/>
  <c r="F403" i="4"/>
  <c r="C340" i="4"/>
  <c r="C411" i="4"/>
  <c r="Z411" i="4" s="1"/>
  <c r="H411" i="4"/>
  <c r="K411" i="4" s="1"/>
  <c r="L411" i="4"/>
  <c r="O411" i="4" s="1"/>
  <c r="M340" i="4"/>
  <c r="M413" i="4"/>
  <c r="O413" i="4" s="1"/>
  <c r="R413" i="4" s="1"/>
  <c r="S413" i="4" s="1"/>
  <c r="W316" i="4"/>
  <c r="W298" i="4"/>
  <c r="H316" i="4"/>
  <c r="V298" i="4"/>
  <c r="Y298" i="4" s="1"/>
  <c r="D316" i="4"/>
  <c r="V316" i="4" s="1"/>
  <c r="V302" i="4"/>
  <c r="F316" i="4"/>
  <c r="X316" i="4" s="1"/>
  <c r="X302" i="4"/>
  <c r="Z304" i="4"/>
  <c r="Z309" i="4"/>
  <c r="Y310" i="4"/>
  <c r="Z311" i="4"/>
  <c r="D340" i="4"/>
  <c r="V340" i="4" s="1"/>
  <c r="V322" i="4"/>
  <c r="I340" i="4"/>
  <c r="W322" i="4"/>
  <c r="W340" i="4"/>
  <c r="W324" i="4"/>
  <c r="Y324" i="4" s="1"/>
  <c r="F340" i="4"/>
  <c r="X340" i="4" s="1"/>
  <c r="X326" i="4"/>
  <c r="Y326" i="4" s="1"/>
  <c r="X328" i="4"/>
  <c r="Y328" i="4" s="1"/>
  <c r="Y329" i="4"/>
  <c r="Z332" i="4"/>
  <c r="Z333" i="4"/>
  <c r="X334" i="4"/>
  <c r="Y334" i="4" s="1"/>
  <c r="Y335" i="4"/>
  <c r="D365" i="4"/>
  <c r="V365" i="4" s="1"/>
  <c r="V347" i="4"/>
  <c r="E365" i="4"/>
  <c r="W365" i="4" s="1"/>
  <c r="W347" i="4"/>
  <c r="Z349" i="4"/>
  <c r="X365" i="4"/>
  <c r="X351" i="4"/>
  <c r="Y351" i="4" s="1"/>
  <c r="Z353" i="4"/>
  <c r="W354" i="4"/>
  <c r="Y354" i="4" s="1"/>
  <c r="Y357" i="4"/>
  <c r="Z358" i="4"/>
  <c r="Z360" i="4"/>
  <c r="N262" i="4"/>
  <c r="M262" i="4"/>
  <c r="L262" i="4"/>
  <c r="J262" i="4"/>
  <c r="I262" i="4"/>
  <c r="I409" i="4" s="1"/>
  <c r="F262" i="4"/>
  <c r="X262" i="4" s="1"/>
  <c r="E262" i="4"/>
  <c r="W262" i="4" s="1"/>
  <c r="D262" i="4"/>
  <c r="V262" i="4" s="1"/>
  <c r="Y262" i="4" s="1"/>
  <c r="N261" i="4"/>
  <c r="M261" i="4"/>
  <c r="L261" i="4"/>
  <c r="J261" i="4"/>
  <c r="X261" i="4" s="1"/>
  <c r="I261" i="4"/>
  <c r="W261" i="4"/>
  <c r="V261" i="4"/>
  <c r="Y261" i="4" s="1"/>
  <c r="AH261" i="4" s="1"/>
  <c r="C261" i="4"/>
  <c r="M260" i="4"/>
  <c r="L260" i="4"/>
  <c r="H260" i="4"/>
  <c r="F260" i="4"/>
  <c r="X260" i="4" s="1"/>
  <c r="E260" i="4"/>
  <c r="W260" i="4" s="1"/>
  <c r="D260" i="4"/>
  <c r="V260" i="4" s="1"/>
  <c r="Y260" i="4" s="1"/>
  <c r="X259" i="4"/>
  <c r="W259" i="4"/>
  <c r="V259" i="4"/>
  <c r="Y259" i="4" s="1"/>
  <c r="AH259" i="4" s="1"/>
  <c r="M256" i="4"/>
  <c r="L256" i="4"/>
  <c r="I256" i="4"/>
  <c r="H256" i="4"/>
  <c r="E256" i="4"/>
  <c r="W256" i="4" s="1"/>
  <c r="D256" i="4"/>
  <c r="V256" i="4" s="1"/>
  <c r="Y256" i="4" s="1"/>
  <c r="AH256" i="4" s="1"/>
  <c r="C256" i="4"/>
  <c r="M255" i="4"/>
  <c r="J255" i="4"/>
  <c r="H255" i="4"/>
  <c r="F255" i="4"/>
  <c r="X255" i="4" s="1"/>
  <c r="E255" i="4"/>
  <c r="W255" i="4" s="1"/>
  <c r="D255" i="4"/>
  <c r="V255" i="4" s="1"/>
  <c r="Y255" i="4" s="1"/>
  <c r="M253" i="4"/>
  <c r="N267" i="4"/>
  <c r="L253" i="4"/>
  <c r="J267" i="4"/>
  <c r="I253" i="4"/>
  <c r="W253" i="4" s="1"/>
  <c r="H253" i="4"/>
  <c r="V253" i="4" s="1"/>
  <c r="F253" i="4"/>
  <c r="C253" i="4"/>
  <c r="M251" i="4"/>
  <c r="I251" i="4"/>
  <c r="E251" i="4"/>
  <c r="W251" i="4" s="1"/>
  <c r="Y251" i="4" s="1"/>
  <c r="AH251" i="4" s="1"/>
  <c r="C251" i="4"/>
  <c r="Z255" i="4" l="1"/>
  <c r="AH255" i="4"/>
  <c r="Z262" i="4"/>
  <c r="AH262" i="4"/>
  <c r="Z354" i="4"/>
  <c r="AH354" i="4"/>
  <c r="Z351" i="4"/>
  <c r="AH351" i="4"/>
  <c r="Z335" i="4"/>
  <c r="AH335" i="4"/>
  <c r="Z334" i="4"/>
  <c r="AH334" i="4"/>
  <c r="Z329" i="4"/>
  <c r="AH329" i="4"/>
  <c r="Z326" i="4"/>
  <c r="AH326" i="4"/>
  <c r="Z324" i="4"/>
  <c r="AH324" i="4"/>
  <c r="Z310" i="4"/>
  <c r="AH310" i="4"/>
  <c r="Z298" i="4"/>
  <c r="AH298" i="4"/>
  <c r="Z260" i="4"/>
  <c r="AH260" i="4"/>
  <c r="Z357" i="4"/>
  <c r="AH357" i="4"/>
  <c r="Z328" i="4"/>
  <c r="AH328" i="4"/>
  <c r="R411" i="4"/>
  <c r="S411" i="4" s="1"/>
  <c r="Y305" i="4"/>
  <c r="Z251" i="4"/>
  <c r="F267" i="4"/>
  <c r="X267" i="4" s="1"/>
  <c r="X253" i="4"/>
  <c r="Y253" i="4"/>
  <c r="Z256" i="4"/>
  <c r="Z259" i="4"/>
  <c r="Z261" i="4"/>
  <c r="Y347" i="4"/>
  <c r="Y365" i="4"/>
  <c r="Z365" i="4" s="1"/>
  <c r="Y322" i="4"/>
  <c r="Y340" i="4"/>
  <c r="Z340" i="4" s="1"/>
  <c r="Y302" i="4"/>
  <c r="Y316" i="4"/>
  <c r="Z316" i="4" s="1"/>
  <c r="M249" i="4"/>
  <c r="M267" i="4" s="1"/>
  <c r="L249" i="4"/>
  <c r="L267" i="4" s="1"/>
  <c r="I249" i="4"/>
  <c r="I267" i="4" s="1"/>
  <c r="H249" i="4"/>
  <c r="H267" i="4" s="1"/>
  <c r="E249" i="4"/>
  <c r="E267" i="4" s="1"/>
  <c r="D249" i="4"/>
  <c r="C249" i="4"/>
  <c r="C267" i="4" s="1"/>
  <c r="N237" i="4"/>
  <c r="L237" i="4"/>
  <c r="J237" i="4"/>
  <c r="X237" i="4" s="1"/>
  <c r="H237" i="4"/>
  <c r="E237" i="4"/>
  <c r="W237" i="4" s="1"/>
  <c r="D237" i="4"/>
  <c r="V237" i="4" s="1"/>
  <c r="Y237" i="4" s="1"/>
  <c r="M236" i="4"/>
  <c r="N236" i="4"/>
  <c r="L236" i="4"/>
  <c r="L408" i="4" s="1"/>
  <c r="J236" i="4"/>
  <c r="X236" i="4" s="1"/>
  <c r="H236" i="4"/>
  <c r="H408" i="4" s="1"/>
  <c r="E236" i="4"/>
  <c r="W236" i="4" s="1"/>
  <c r="D236" i="4"/>
  <c r="V236" i="4" s="1"/>
  <c r="Y236" i="4" s="1"/>
  <c r="AH236" i="4" s="1"/>
  <c r="C236" i="4"/>
  <c r="N235" i="4"/>
  <c r="M235" i="4"/>
  <c r="L235" i="4"/>
  <c r="J235" i="4"/>
  <c r="I235" i="4"/>
  <c r="I407" i="4" s="1"/>
  <c r="H235" i="4"/>
  <c r="H407" i="4" s="1"/>
  <c r="F235" i="4"/>
  <c r="X235" i="4" s="1"/>
  <c r="E235" i="4"/>
  <c r="W235" i="4" s="1"/>
  <c r="D235" i="4"/>
  <c r="V235" i="4" s="1"/>
  <c r="Y235" i="4" s="1"/>
  <c r="AH235" i="4" s="1"/>
  <c r="C235" i="4"/>
  <c r="C407" i="4" s="1"/>
  <c r="H406" i="4"/>
  <c r="N406" i="4"/>
  <c r="M406" i="4"/>
  <c r="X234" i="4"/>
  <c r="W234" i="4"/>
  <c r="V234" i="4"/>
  <c r="Y234" i="4" s="1"/>
  <c r="AH234" i="4" s="1"/>
  <c r="C406" i="4"/>
  <c r="I231" i="4"/>
  <c r="M231" i="4"/>
  <c r="L231" i="4"/>
  <c r="H231" i="4"/>
  <c r="E231" i="4"/>
  <c r="W231" i="4" s="1"/>
  <c r="D231" i="4"/>
  <c r="V231" i="4" s="1"/>
  <c r="Y231" i="4" s="1"/>
  <c r="AH231" i="4" s="1"/>
  <c r="C231" i="4"/>
  <c r="J230" i="4"/>
  <c r="J242" i="4" s="1"/>
  <c r="N230" i="4"/>
  <c r="M230" i="4"/>
  <c r="L230" i="4"/>
  <c r="I230" i="4"/>
  <c r="H230" i="4"/>
  <c r="F230" i="4"/>
  <c r="X230" i="4" s="1"/>
  <c r="E230" i="4"/>
  <c r="W230" i="4" s="1"/>
  <c r="D230" i="4"/>
  <c r="V230" i="4" s="1"/>
  <c r="Y230" i="4" s="1"/>
  <c r="AH230" i="4" s="1"/>
  <c r="C230" i="4"/>
  <c r="N228" i="4"/>
  <c r="N242" i="4" s="1"/>
  <c r="L228" i="4"/>
  <c r="I228" i="4"/>
  <c r="H228" i="4"/>
  <c r="H242" i="4" s="1"/>
  <c r="F228" i="4"/>
  <c r="E228" i="4"/>
  <c r="W228" i="4" s="1"/>
  <c r="D228" i="4"/>
  <c r="V228" i="4" s="1"/>
  <c r="C228" i="4"/>
  <c r="M226" i="4"/>
  <c r="C226" i="4"/>
  <c r="E226" i="4"/>
  <c r="L224" i="4"/>
  <c r="I224" i="4"/>
  <c r="E224" i="4"/>
  <c r="D224" i="4"/>
  <c r="D410" i="4" s="1"/>
  <c r="N213" i="4"/>
  <c r="N409" i="4" s="1"/>
  <c r="M213" i="4"/>
  <c r="M409" i="4" s="1"/>
  <c r="L213" i="4"/>
  <c r="L409" i="4" s="1"/>
  <c r="O409" i="4" s="1"/>
  <c r="J213" i="4"/>
  <c r="J409" i="4" s="1"/>
  <c r="H213" i="4"/>
  <c r="H409" i="4" s="1"/>
  <c r="K409" i="4" s="1"/>
  <c r="F213" i="4"/>
  <c r="E213" i="4"/>
  <c r="D213" i="4"/>
  <c r="D409" i="4" s="1"/>
  <c r="C212" i="4"/>
  <c r="C408" i="4" s="1"/>
  <c r="N212" i="4"/>
  <c r="N408" i="4" s="1"/>
  <c r="M212" i="4"/>
  <c r="M408" i="4" s="1"/>
  <c r="J212" i="4"/>
  <c r="J408" i="4" s="1"/>
  <c r="I212" i="4"/>
  <c r="I408" i="4" s="1"/>
  <c r="F212" i="4"/>
  <c r="E212" i="4"/>
  <c r="D212" i="4"/>
  <c r="N211" i="4"/>
  <c r="N407" i="4" s="1"/>
  <c r="M211" i="4"/>
  <c r="M407" i="4" s="1"/>
  <c r="L211" i="4"/>
  <c r="L407" i="4" s="1"/>
  <c r="O407" i="4" s="1"/>
  <c r="J211" i="4"/>
  <c r="J407" i="4" s="1"/>
  <c r="D211" i="4"/>
  <c r="E211" i="4"/>
  <c r="F211" i="4"/>
  <c r="L406" i="4"/>
  <c r="O406" i="4" s="1"/>
  <c r="J406" i="4"/>
  <c r="I406" i="4"/>
  <c r="C207" i="4"/>
  <c r="C403" i="4" s="1"/>
  <c r="M207" i="4"/>
  <c r="M403" i="4" s="1"/>
  <c r="L207" i="4"/>
  <c r="L403" i="4" s="1"/>
  <c r="O403" i="4" s="1"/>
  <c r="I207" i="4"/>
  <c r="I403" i="4" s="1"/>
  <c r="H207" i="4"/>
  <c r="H403" i="4" s="1"/>
  <c r="K403" i="4" s="1"/>
  <c r="E207" i="4"/>
  <c r="D207" i="4"/>
  <c r="F206" i="4"/>
  <c r="F402" i="4" s="1"/>
  <c r="C206" i="4"/>
  <c r="C402" i="4" s="1"/>
  <c r="N206" i="4"/>
  <c r="N402" i="4" s="1"/>
  <c r="M206" i="4"/>
  <c r="M402" i="4" s="1"/>
  <c r="L206" i="4"/>
  <c r="L402" i="4" s="1"/>
  <c r="O402" i="4" s="1"/>
  <c r="J206" i="4"/>
  <c r="J402" i="4" s="1"/>
  <c r="I206" i="4"/>
  <c r="I402" i="4" s="1"/>
  <c r="H206" i="4"/>
  <c r="H402" i="4" s="1"/>
  <c r="K402" i="4" s="1"/>
  <c r="E206" i="4"/>
  <c r="D206" i="4"/>
  <c r="N204" i="4"/>
  <c r="J204" i="4"/>
  <c r="F204" i="4"/>
  <c r="F400" i="4" s="1"/>
  <c r="M204" i="4"/>
  <c r="M400" i="4" s="1"/>
  <c r="I204" i="4"/>
  <c r="I400" i="4" s="1"/>
  <c r="E204" i="4"/>
  <c r="L204" i="4"/>
  <c r="L400" i="4" s="1"/>
  <c r="H204" i="4"/>
  <c r="H400" i="4" s="1"/>
  <c r="D204" i="4"/>
  <c r="C204" i="4"/>
  <c r="C400" i="4" s="1"/>
  <c r="C202" i="4"/>
  <c r="C398" i="4" s="1"/>
  <c r="M202" i="4"/>
  <c r="M398" i="4" s="1"/>
  <c r="O398" i="4" s="1"/>
  <c r="I202" i="4"/>
  <c r="I398" i="4" s="1"/>
  <c r="K398" i="4" s="1"/>
  <c r="E202" i="4"/>
  <c r="E410" i="4" l="1"/>
  <c r="G410" i="4" s="1"/>
  <c r="E242" i="4"/>
  <c r="Z237" i="4"/>
  <c r="AH237" i="4"/>
  <c r="Z302" i="4"/>
  <c r="AH302" i="4"/>
  <c r="Z322" i="4"/>
  <c r="AH322" i="4"/>
  <c r="Z347" i="4"/>
  <c r="AH347" i="4"/>
  <c r="Z305" i="4"/>
  <c r="AH305" i="4"/>
  <c r="Z253" i="4"/>
  <c r="AH253" i="4"/>
  <c r="W202" i="4"/>
  <c r="E398" i="4"/>
  <c r="G398" i="4" s="1"/>
  <c r="R398" i="4" s="1"/>
  <c r="S398" i="4" s="1"/>
  <c r="V204" i="4"/>
  <c r="V400" i="4" s="1"/>
  <c r="D400" i="4"/>
  <c r="W204" i="4"/>
  <c r="W400" i="4" s="1"/>
  <c r="E400" i="4"/>
  <c r="J218" i="4"/>
  <c r="J400" i="4"/>
  <c r="J414" i="4" s="1"/>
  <c r="N218" i="4"/>
  <c r="N400" i="4"/>
  <c r="N414" i="4" s="1"/>
  <c r="V206" i="4"/>
  <c r="V402" i="4" s="1"/>
  <c r="D402" i="4"/>
  <c r="W206" i="4"/>
  <c r="W402" i="4" s="1"/>
  <c r="E402" i="4"/>
  <c r="V207" i="4"/>
  <c r="V403" i="4" s="1"/>
  <c r="D403" i="4"/>
  <c r="W207" i="4"/>
  <c r="W403" i="4" s="1"/>
  <c r="E403" i="4"/>
  <c r="X210" i="4"/>
  <c r="X406" i="4" s="1"/>
  <c r="F406" i="4"/>
  <c r="W210" i="4"/>
  <c r="W406" i="4" s="1"/>
  <c r="E406" i="4"/>
  <c r="V210" i="4"/>
  <c r="V406" i="4" s="1"/>
  <c r="Y406" i="4" s="1"/>
  <c r="D406" i="4"/>
  <c r="G406" i="4" s="1"/>
  <c r="X211" i="4"/>
  <c r="X407" i="4" s="1"/>
  <c r="F407" i="4"/>
  <c r="W211" i="4"/>
  <c r="W407" i="4" s="1"/>
  <c r="E407" i="4"/>
  <c r="V211" i="4"/>
  <c r="V407" i="4" s="1"/>
  <c r="Y407" i="4" s="1"/>
  <c r="AG407" i="4" s="1"/>
  <c r="D407" i="4"/>
  <c r="G407" i="4" s="1"/>
  <c r="V212" i="4"/>
  <c r="V408" i="4" s="1"/>
  <c r="D408" i="4"/>
  <c r="W212" i="4"/>
  <c r="W408" i="4" s="1"/>
  <c r="E408" i="4"/>
  <c r="X212" i="4"/>
  <c r="X408" i="4" s="1"/>
  <c r="F408" i="4"/>
  <c r="W213" i="4"/>
  <c r="W409" i="4" s="1"/>
  <c r="E409" i="4"/>
  <c r="X213" i="4"/>
  <c r="X409" i="4" s="1"/>
  <c r="F409" i="4"/>
  <c r="I242" i="4"/>
  <c r="I410" i="4"/>
  <c r="K410" i="4" s="1"/>
  <c r="L242" i="4"/>
  <c r="L410" i="4"/>
  <c r="O410" i="4" s="1"/>
  <c r="W226" i="4"/>
  <c r="Y226" i="4" s="1"/>
  <c r="E412" i="4"/>
  <c r="G412" i="4" s="1"/>
  <c r="C242" i="4"/>
  <c r="C412" i="4"/>
  <c r="Z412" i="4" s="1"/>
  <c r="M242" i="4"/>
  <c r="M412" i="4"/>
  <c r="O412" i="4" s="1"/>
  <c r="K406" i="4"/>
  <c r="K407" i="4"/>
  <c r="K408" i="4"/>
  <c r="O408" i="4"/>
  <c r="Y202" i="4"/>
  <c r="F218" i="4"/>
  <c r="X218" i="4" s="1"/>
  <c r="X204" i="4"/>
  <c r="X206" i="4"/>
  <c r="X402" i="4" s="1"/>
  <c r="Y207" i="4"/>
  <c r="Y210" i="4"/>
  <c r="Y211" i="4"/>
  <c r="Y212" i="4"/>
  <c r="G213" i="4"/>
  <c r="V213" i="4"/>
  <c r="V409" i="4" s="1"/>
  <c r="Y409" i="4" s="1"/>
  <c r="D242" i="4"/>
  <c r="V242" i="4" s="1"/>
  <c r="V224" i="4"/>
  <c r="W242" i="4"/>
  <c r="W224" i="4"/>
  <c r="F242" i="4"/>
  <c r="X242" i="4" s="1"/>
  <c r="X228" i="4"/>
  <c r="Y228" i="4" s="1"/>
  <c r="Z230" i="4"/>
  <c r="Z231" i="4"/>
  <c r="Z234" i="4"/>
  <c r="Z235" i="4"/>
  <c r="Z236" i="4"/>
  <c r="D267" i="4"/>
  <c r="V267" i="4" s="1"/>
  <c r="V249" i="4"/>
  <c r="W267" i="4"/>
  <c r="W249" i="4"/>
  <c r="L200" i="4"/>
  <c r="C200" i="4"/>
  <c r="M200" i="4"/>
  <c r="I200" i="4"/>
  <c r="H200" i="4"/>
  <c r="E200" i="4"/>
  <c r="D200" i="4"/>
  <c r="D396" i="4" s="1"/>
  <c r="E396" i="4" l="1"/>
  <c r="E218" i="4"/>
  <c r="E414" i="4"/>
  <c r="Z228" i="4"/>
  <c r="AH228" i="4"/>
  <c r="Z409" i="4"/>
  <c r="AG409" i="4"/>
  <c r="Z212" i="4"/>
  <c r="AH212" i="4"/>
  <c r="Z211" i="4"/>
  <c r="AH211" i="4"/>
  <c r="Z210" i="4"/>
  <c r="AH210" i="4"/>
  <c r="Z207" i="4"/>
  <c r="AH207" i="4"/>
  <c r="Z202" i="4"/>
  <c r="AH202" i="4"/>
  <c r="Z226" i="4"/>
  <c r="AH226" i="4"/>
  <c r="Z407" i="4"/>
  <c r="Z406" i="4"/>
  <c r="AG406" i="4"/>
  <c r="R410" i="4"/>
  <c r="S410" i="4" s="1"/>
  <c r="G409" i="4"/>
  <c r="R409" i="4" s="1"/>
  <c r="S409" i="4" s="1"/>
  <c r="F414" i="4"/>
  <c r="D414" i="4"/>
  <c r="G396" i="4"/>
  <c r="H218" i="4"/>
  <c r="H396" i="4"/>
  <c r="I218" i="4"/>
  <c r="I396" i="4"/>
  <c r="I414" i="4" s="1"/>
  <c r="M218" i="4"/>
  <c r="M396" i="4"/>
  <c r="M414" i="4" s="1"/>
  <c r="C218" i="4"/>
  <c r="C396" i="4"/>
  <c r="C414" i="4" s="1"/>
  <c r="L218" i="4"/>
  <c r="L396" i="4"/>
  <c r="X400" i="4"/>
  <c r="X414" i="4"/>
  <c r="R412" i="4"/>
  <c r="S412" i="4" s="1"/>
  <c r="G408" i="4"/>
  <c r="R408" i="4" s="1"/>
  <c r="S408" i="4" s="1"/>
  <c r="Y408" i="4"/>
  <c r="R407" i="4"/>
  <c r="S407" i="4" s="1"/>
  <c r="R406" i="4"/>
  <c r="S406" i="4" s="1"/>
  <c r="G403" i="4"/>
  <c r="R403" i="4" s="1"/>
  <c r="S403" i="4" s="1"/>
  <c r="Y403" i="4"/>
  <c r="G402" i="4"/>
  <c r="R402" i="4" s="1"/>
  <c r="S402" i="4" s="1"/>
  <c r="Y402" i="4"/>
  <c r="O400" i="4"/>
  <c r="K400" i="4"/>
  <c r="G400" i="4"/>
  <c r="R400" i="4" s="1"/>
  <c r="S400" i="4" s="1"/>
  <c r="Y400" i="4"/>
  <c r="W398" i="4"/>
  <c r="Y398" i="4" s="1"/>
  <c r="D218" i="4"/>
  <c r="V218" i="4" s="1"/>
  <c r="V414" i="4" s="1"/>
  <c r="V200" i="4"/>
  <c r="V396" i="4" s="1"/>
  <c r="W218" i="4"/>
  <c r="W414" i="4" s="1"/>
  <c r="W200" i="4"/>
  <c r="W396" i="4" s="1"/>
  <c r="Y249" i="4"/>
  <c r="Y267" i="4"/>
  <c r="Z267" i="4" s="1"/>
  <c r="Y224" i="4"/>
  <c r="Y242" i="4"/>
  <c r="Z242" i="4" s="1"/>
  <c r="Y213" i="4"/>
  <c r="Y206" i="4"/>
  <c r="Y204" i="4"/>
  <c r="E119" i="5"/>
  <c r="E118" i="5"/>
  <c r="E117" i="5"/>
  <c r="E116" i="5"/>
  <c r="E115" i="5"/>
  <c r="E114" i="5"/>
  <c r="E113" i="5"/>
  <c r="E112" i="5"/>
  <c r="E111" i="5"/>
  <c r="E102" i="5"/>
  <c r="E101" i="5"/>
  <c r="E100" i="5"/>
  <c r="E99" i="5"/>
  <c r="E98" i="5"/>
  <c r="E97" i="5"/>
  <c r="E96" i="5"/>
  <c r="E95" i="5"/>
  <c r="E94" i="5"/>
  <c r="E85" i="5"/>
  <c r="E84" i="5"/>
  <c r="E83" i="5"/>
  <c r="E82" i="5"/>
  <c r="E81" i="5"/>
  <c r="E80" i="5"/>
  <c r="E79" i="5"/>
  <c r="E78" i="5"/>
  <c r="E77" i="5"/>
  <c r="E68" i="5"/>
  <c r="E67" i="5"/>
  <c r="E66" i="5"/>
  <c r="E65" i="5"/>
  <c r="E64" i="5"/>
  <c r="E63" i="5"/>
  <c r="E62" i="5"/>
  <c r="E61" i="5"/>
  <c r="E60" i="5"/>
  <c r="E51" i="5"/>
  <c r="E50" i="5"/>
  <c r="E49" i="5"/>
  <c r="E48" i="5"/>
  <c r="E47" i="5"/>
  <c r="E46" i="5"/>
  <c r="E45" i="5"/>
  <c r="E44" i="5"/>
  <c r="E43" i="5"/>
  <c r="E34" i="5"/>
  <c r="E33" i="5"/>
  <c r="E32" i="5"/>
  <c r="E31" i="5"/>
  <c r="E30" i="5"/>
  <c r="E29" i="5"/>
  <c r="E28" i="5"/>
  <c r="E27" i="5"/>
  <c r="E26" i="5"/>
  <c r="Z204" i="4" l="1"/>
  <c r="AH204" i="4"/>
  <c r="Z206" i="4"/>
  <c r="AH206" i="4"/>
  <c r="Z213" i="4"/>
  <c r="AH213" i="4"/>
  <c r="Z224" i="4"/>
  <c r="AH224" i="4"/>
  <c r="Z249" i="4"/>
  <c r="AH249" i="4"/>
  <c r="Z398" i="4"/>
  <c r="AG398" i="4"/>
  <c r="Z408" i="4"/>
  <c r="AG408" i="4"/>
  <c r="Z403" i="4"/>
  <c r="AG403" i="4"/>
  <c r="Z402" i="4"/>
  <c r="AG402" i="4"/>
  <c r="Z400" i="4"/>
  <c r="AG400" i="4"/>
  <c r="Y396" i="4"/>
  <c r="Y414" i="4"/>
  <c r="Z414" i="4" s="1"/>
  <c r="L414" i="4"/>
  <c r="O396" i="4"/>
  <c r="O414" i="4" s="1"/>
  <c r="H414" i="4"/>
  <c r="K396" i="4"/>
  <c r="K414" i="4" s="1"/>
  <c r="G414" i="4"/>
  <c r="R414" i="4" s="1"/>
  <c r="S414" i="4" s="1"/>
  <c r="R396" i="4"/>
  <c r="S396" i="4" s="1"/>
  <c r="Y200" i="4"/>
  <c r="Y218" i="4"/>
  <c r="Z218" i="4" s="1"/>
  <c r="R112" i="5"/>
  <c r="R113" i="5"/>
  <c r="R114" i="5"/>
  <c r="R115" i="5"/>
  <c r="R116" i="5"/>
  <c r="R117" i="5"/>
  <c r="R118" i="5"/>
  <c r="R119" i="5"/>
  <c r="R111" i="5"/>
  <c r="N112" i="5"/>
  <c r="N113" i="5"/>
  <c r="N114" i="5"/>
  <c r="N115" i="5"/>
  <c r="N116" i="5"/>
  <c r="N117" i="5"/>
  <c r="N118" i="5"/>
  <c r="N119" i="5"/>
  <c r="N111" i="5"/>
  <c r="J112" i="5"/>
  <c r="J113" i="5"/>
  <c r="J114" i="5"/>
  <c r="J115" i="5"/>
  <c r="J116" i="5"/>
  <c r="J118" i="5"/>
  <c r="J119" i="5"/>
  <c r="J111" i="5"/>
  <c r="W111" i="5" s="1"/>
  <c r="V95" i="5"/>
  <c r="V96" i="5"/>
  <c r="V97" i="5"/>
  <c r="V98" i="5"/>
  <c r="V99" i="5"/>
  <c r="V100" i="5"/>
  <c r="V101" i="5"/>
  <c r="V102" i="5"/>
  <c r="V94" i="5"/>
  <c r="V78" i="5"/>
  <c r="V79" i="5"/>
  <c r="V80" i="5"/>
  <c r="V81" i="5"/>
  <c r="V82" i="5"/>
  <c r="V83" i="5"/>
  <c r="V84" i="5"/>
  <c r="V85" i="5"/>
  <c r="V77" i="5"/>
  <c r="V61" i="5"/>
  <c r="V62" i="5"/>
  <c r="V63" i="5"/>
  <c r="V64" i="5"/>
  <c r="V65" i="5"/>
  <c r="V66" i="5"/>
  <c r="V67" i="5"/>
  <c r="V68" i="5"/>
  <c r="V60" i="5"/>
  <c r="V43" i="5"/>
  <c r="V44" i="5"/>
  <c r="V45" i="5"/>
  <c r="V46" i="5"/>
  <c r="V47" i="5"/>
  <c r="V48" i="5"/>
  <c r="V49" i="5"/>
  <c r="V50" i="5"/>
  <c r="V51" i="5"/>
  <c r="V27" i="5"/>
  <c r="V28" i="5"/>
  <c r="V29" i="5"/>
  <c r="V30" i="5"/>
  <c r="V31" i="5"/>
  <c r="V32" i="5"/>
  <c r="V33" i="5"/>
  <c r="V34" i="5"/>
  <c r="V26" i="5"/>
  <c r="V8" i="5"/>
  <c r="V112" i="5" s="1"/>
  <c r="AC112" i="5" s="1"/>
  <c r="V9" i="5"/>
  <c r="V113" i="5" s="1"/>
  <c r="AC113" i="5" s="1"/>
  <c r="V10" i="5"/>
  <c r="V114" i="5" s="1"/>
  <c r="AC114" i="5" s="1"/>
  <c r="V11" i="5"/>
  <c r="V115" i="5" s="1"/>
  <c r="AC115" i="5" s="1"/>
  <c r="V12" i="5"/>
  <c r="V116" i="5" s="1"/>
  <c r="AC116" i="5" s="1"/>
  <c r="V13" i="5"/>
  <c r="V117" i="5" s="1"/>
  <c r="AC117" i="5" s="1"/>
  <c r="V14" i="5"/>
  <c r="V118" i="5" s="1"/>
  <c r="AC118" i="5" s="1"/>
  <c r="V15" i="5"/>
  <c r="V119" i="5" s="1"/>
  <c r="AC119" i="5" s="1"/>
  <c r="V7" i="5"/>
  <c r="G7" i="5"/>
  <c r="H7" i="5"/>
  <c r="I7" i="5"/>
  <c r="K7" i="5"/>
  <c r="L7" i="5"/>
  <c r="M7" i="5"/>
  <c r="Z200" i="4" l="1"/>
  <c r="AH200" i="4"/>
  <c r="Z396" i="4"/>
  <c r="AG396" i="4"/>
  <c r="V111" i="5"/>
  <c r="X111" i="5" s="1"/>
  <c r="AC111" i="5"/>
  <c r="F16" i="5"/>
  <c r="E97" i="4" l="1"/>
  <c r="D388" i="4" l="1"/>
  <c r="E388" i="4"/>
  <c r="F388" i="4"/>
  <c r="G388" i="4"/>
  <c r="H388" i="4"/>
  <c r="I388" i="4"/>
  <c r="J388" i="4"/>
  <c r="K388" i="4"/>
  <c r="L388" i="4"/>
  <c r="M388" i="4"/>
  <c r="N388" i="4"/>
  <c r="O388" i="4"/>
  <c r="R388" i="4"/>
  <c r="O364" i="4"/>
  <c r="K364" i="4"/>
  <c r="G364" i="4"/>
  <c r="R364" i="4" s="1"/>
  <c r="C364" i="4"/>
  <c r="Z364" i="4" s="1"/>
  <c r="O339" i="4"/>
  <c r="K339" i="4"/>
  <c r="G339" i="4"/>
  <c r="R339" i="4" s="1"/>
  <c r="C339" i="4"/>
  <c r="Z339" i="4" s="1"/>
  <c r="O315" i="4"/>
  <c r="K315" i="4"/>
  <c r="G315" i="4"/>
  <c r="R315" i="4" s="1"/>
  <c r="C315" i="4"/>
  <c r="D290" i="4"/>
  <c r="E290" i="4"/>
  <c r="F290" i="4"/>
  <c r="G290" i="4"/>
  <c r="H290" i="4"/>
  <c r="I290" i="4"/>
  <c r="J290" i="4"/>
  <c r="K290" i="4"/>
  <c r="L290" i="4"/>
  <c r="M290" i="4"/>
  <c r="N290" i="4"/>
  <c r="O290" i="4"/>
  <c r="R290" i="4"/>
  <c r="C290" i="4"/>
  <c r="O266" i="4"/>
  <c r="K266" i="4"/>
  <c r="G266" i="4"/>
  <c r="R266" i="4" s="1"/>
  <c r="C266" i="4"/>
  <c r="Z266" i="4" s="1"/>
  <c r="O241" i="4"/>
  <c r="K241" i="4"/>
  <c r="G241" i="4"/>
  <c r="R241" i="4" s="1"/>
  <c r="C241" i="4"/>
  <c r="Z241" i="4" s="1"/>
  <c r="O217" i="4"/>
  <c r="K217" i="4"/>
  <c r="G217" i="4"/>
  <c r="R217" i="4" s="1"/>
  <c r="C217" i="4"/>
  <c r="Z217" i="4" s="1"/>
  <c r="D193" i="4"/>
  <c r="E193" i="4"/>
  <c r="F193" i="4"/>
  <c r="G193" i="4"/>
  <c r="H193" i="4"/>
  <c r="I193" i="4"/>
  <c r="J193" i="4"/>
  <c r="K193" i="4"/>
  <c r="L193" i="4"/>
  <c r="M193" i="4"/>
  <c r="N193" i="4"/>
  <c r="O193" i="4"/>
  <c r="R193" i="4"/>
  <c r="D170" i="4"/>
  <c r="E170" i="4"/>
  <c r="F170" i="4"/>
  <c r="H170" i="4"/>
  <c r="I170" i="4"/>
  <c r="J170" i="4"/>
  <c r="L170" i="4"/>
  <c r="M170" i="4"/>
  <c r="N170" i="4"/>
  <c r="O169" i="4"/>
  <c r="K169" i="4"/>
  <c r="G169" i="4"/>
  <c r="R169" i="4" s="1"/>
  <c r="C169" i="4"/>
  <c r="C170" i="4" s="1"/>
  <c r="D146" i="4"/>
  <c r="E146" i="4"/>
  <c r="F146" i="4"/>
  <c r="H146" i="4"/>
  <c r="I146" i="4"/>
  <c r="J146" i="4"/>
  <c r="L146" i="4"/>
  <c r="M146" i="4"/>
  <c r="N146" i="4"/>
  <c r="O145" i="4"/>
  <c r="K145" i="4"/>
  <c r="G145" i="4"/>
  <c r="R145" i="4" s="1"/>
  <c r="C145" i="4"/>
  <c r="C146" i="4" s="1"/>
  <c r="D122" i="4"/>
  <c r="E122" i="4"/>
  <c r="F122" i="4"/>
  <c r="H122" i="4"/>
  <c r="I122" i="4"/>
  <c r="J122" i="4"/>
  <c r="L122" i="4"/>
  <c r="M122" i="4"/>
  <c r="N122" i="4"/>
  <c r="O121" i="4"/>
  <c r="K121" i="4"/>
  <c r="G121" i="4"/>
  <c r="R121" i="4" s="1"/>
  <c r="C121" i="4"/>
  <c r="C193" i="4" s="1"/>
  <c r="D97" i="4"/>
  <c r="D438" i="4" s="1"/>
  <c r="F97" i="4"/>
  <c r="F438" i="4" s="1"/>
  <c r="G97" i="4"/>
  <c r="H97" i="4"/>
  <c r="H438" i="4" s="1"/>
  <c r="I97" i="4"/>
  <c r="I438" i="4" s="1"/>
  <c r="J97" i="4"/>
  <c r="J438" i="4" s="1"/>
  <c r="K97" i="4"/>
  <c r="L97" i="4"/>
  <c r="L438" i="4" s="1"/>
  <c r="M97" i="4"/>
  <c r="M438" i="4" s="1"/>
  <c r="N97" i="4"/>
  <c r="N438" i="4" s="1"/>
  <c r="O97" i="4"/>
  <c r="R97" i="4"/>
  <c r="C97" i="4"/>
  <c r="D74" i="4"/>
  <c r="E74" i="4"/>
  <c r="F74" i="4"/>
  <c r="H74" i="4"/>
  <c r="I74" i="4"/>
  <c r="J74" i="4"/>
  <c r="L74" i="4"/>
  <c r="M74" i="4"/>
  <c r="N74" i="4"/>
  <c r="O73" i="4"/>
  <c r="K73" i="4"/>
  <c r="G73" i="4"/>
  <c r="R73" i="4" s="1"/>
  <c r="C73" i="4"/>
  <c r="C74" i="4" s="1"/>
  <c r="D50" i="4"/>
  <c r="E50" i="4"/>
  <c r="F50" i="4"/>
  <c r="H50" i="4"/>
  <c r="I50" i="4"/>
  <c r="J50" i="4"/>
  <c r="L50" i="4"/>
  <c r="M50" i="4"/>
  <c r="N50" i="4"/>
  <c r="O49" i="4"/>
  <c r="K49" i="4"/>
  <c r="G49" i="4"/>
  <c r="R49" i="4" s="1"/>
  <c r="C49" i="4"/>
  <c r="C50" i="4" s="1"/>
  <c r="C24" i="4"/>
  <c r="D25" i="4"/>
  <c r="E25" i="4"/>
  <c r="F25" i="4"/>
  <c r="H25" i="4"/>
  <c r="I25" i="4"/>
  <c r="J25" i="4"/>
  <c r="L25" i="4"/>
  <c r="M25" i="4"/>
  <c r="N25" i="4"/>
  <c r="C25" i="4"/>
  <c r="O24" i="4"/>
  <c r="K24" i="4"/>
  <c r="G24" i="4"/>
  <c r="R24" i="4" s="1"/>
  <c r="S24" i="4" s="1"/>
  <c r="X438" i="4" l="1"/>
  <c r="V438" i="4"/>
  <c r="E438" i="4"/>
  <c r="W438" i="4" s="1"/>
  <c r="X290" i="4"/>
  <c r="W290" i="4"/>
  <c r="V290" i="4"/>
  <c r="C388" i="4"/>
  <c r="Z315" i="4"/>
  <c r="X388" i="4"/>
  <c r="W388" i="4"/>
  <c r="V388" i="4"/>
  <c r="Y388" i="4" s="1"/>
  <c r="Z388" i="4" s="1"/>
  <c r="S364" i="4"/>
  <c r="S339" i="4"/>
  <c r="S315" i="4"/>
  <c r="S388" i="4"/>
  <c r="S266" i="4"/>
  <c r="S241" i="4"/>
  <c r="S217" i="4"/>
  <c r="O438" i="4"/>
  <c r="K438" i="4"/>
  <c r="G438" i="4"/>
  <c r="R438" i="4" s="1"/>
  <c r="S121" i="4"/>
  <c r="C122" i="4"/>
  <c r="S145" i="4"/>
  <c r="S169" i="4"/>
  <c r="S193" i="4"/>
  <c r="C438" i="4"/>
  <c r="S290" i="4"/>
  <c r="S97" i="4"/>
  <c r="S73" i="4"/>
  <c r="S49" i="4"/>
  <c r="AI110" i="5"/>
  <c r="AJ110" i="5"/>
  <c r="AH110" i="5"/>
  <c r="Y438" i="4" l="1"/>
  <c r="Z438" i="4" s="1"/>
  <c r="Y290" i="4"/>
  <c r="Z290" i="4" s="1"/>
  <c r="S438" i="4"/>
  <c r="L372" i="4" l="1"/>
  <c r="M372" i="4"/>
  <c r="N372" i="4"/>
  <c r="O372" i="4"/>
  <c r="L373" i="4"/>
  <c r="M373" i="4"/>
  <c r="N373" i="4"/>
  <c r="L374" i="4"/>
  <c r="M374" i="4"/>
  <c r="N374" i="4"/>
  <c r="L375" i="4"/>
  <c r="M375" i="4"/>
  <c r="N375" i="4"/>
  <c r="O375" i="4" s="1"/>
  <c r="L376" i="4"/>
  <c r="M376" i="4"/>
  <c r="N376" i="4"/>
  <c r="O376" i="4"/>
  <c r="L377" i="4"/>
  <c r="M377" i="4"/>
  <c r="N377" i="4"/>
  <c r="L378" i="4"/>
  <c r="M378" i="4"/>
  <c r="N378" i="4"/>
  <c r="L379" i="4"/>
  <c r="M379" i="4"/>
  <c r="N379" i="4"/>
  <c r="O379" i="4" s="1"/>
  <c r="L380" i="4"/>
  <c r="M380" i="4"/>
  <c r="N380" i="4"/>
  <c r="O380" i="4"/>
  <c r="L381" i="4"/>
  <c r="M381" i="4"/>
  <c r="N381" i="4"/>
  <c r="L382" i="4"/>
  <c r="M382" i="4"/>
  <c r="N382" i="4"/>
  <c r="L383" i="4"/>
  <c r="M383" i="4"/>
  <c r="N383" i="4"/>
  <c r="O383" i="4" s="1"/>
  <c r="L384" i="4"/>
  <c r="M384" i="4"/>
  <c r="N384" i="4"/>
  <c r="O384" i="4"/>
  <c r="L385" i="4"/>
  <c r="M385" i="4"/>
  <c r="N385" i="4"/>
  <c r="L386" i="4"/>
  <c r="M386" i="4"/>
  <c r="N386" i="4"/>
  <c r="L387" i="4"/>
  <c r="M387" i="4"/>
  <c r="N387" i="4"/>
  <c r="N371" i="4"/>
  <c r="M371" i="4"/>
  <c r="L371" i="4"/>
  <c r="L389" i="4" s="1"/>
  <c r="H372" i="4"/>
  <c r="I372" i="4"/>
  <c r="J372" i="4"/>
  <c r="H373" i="4"/>
  <c r="I373" i="4"/>
  <c r="J373" i="4"/>
  <c r="H374" i="4"/>
  <c r="I374" i="4"/>
  <c r="J374" i="4"/>
  <c r="H375" i="4"/>
  <c r="I375" i="4"/>
  <c r="J375" i="4"/>
  <c r="H376" i="4"/>
  <c r="I376" i="4"/>
  <c r="J376" i="4"/>
  <c r="H377" i="4"/>
  <c r="I377" i="4"/>
  <c r="J377" i="4"/>
  <c r="H378" i="4"/>
  <c r="I378" i="4"/>
  <c r="J378" i="4"/>
  <c r="H379" i="4"/>
  <c r="I379" i="4"/>
  <c r="J379" i="4"/>
  <c r="H380" i="4"/>
  <c r="I380" i="4"/>
  <c r="J380" i="4"/>
  <c r="H381" i="4"/>
  <c r="I381" i="4"/>
  <c r="J381" i="4"/>
  <c r="H382" i="4"/>
  <c r="I382" i="4"/>
  <c r="J382" i="4"/>
  <c r="H383" i="4"/>
  <c r="I383" i="4"/>
  <c r="J383" i="4"/>
  <c r="H384" i="4"/>
  <c r="I384" i="4"/>
  <c r="J384" i="4"/>
  <c r="H385" i="4"/>
  <c r="I385" i="4"/>
  <c r="J385" i="4"/>
  <c r="H386" i="4"/>
  <c r="I386" i="4"/>
  <c r="J386" i="4"/>
  <c r="H387" i="4"/>
  <c r="I387" i="4"/>
  <c r="J387" i="4"/>
  <c r="J371" i="4"/>
  <c r="I371" i="4"/>
  <c r="H371" i="4"/>
  <c r="C372" i="4"/>
  <c r="D372" i="4"/>
  <c r="V372" i="4" s="1"/>
  <c r="E372" i="4"/>
  <c r="W372" i="4" s="1"/>
  <c r="F372" i="4"/>
  <c r="X372" i="4" s="1"/>
  <c r="C373" i="4"/>
  <c r="D373" i="4"/>
  <c r="V373" i="4" s="1"/>
  <c r="E373" i="4"/>
  <c r="W373" i="4" s="1"/>
  <c r="F373" i="4"/>
  <c r="X373" i="4" s="1"/>
  <c r="C374" i="4"/>
  <c r="D374" i="4"/>
  <c r="V374" i="4" s="1"/>
  <c r="E374" i="4"/>
  <c r="W374" i="4" s="1"/>
  <c r="F374" i="4"/>
  <c r="X374" i="4" s="1"/>
  <c r="C375" i="4"/>
  <c r="D375" i="4"/>
  <c r="V375" i="4" s="1"/>
  <c r="E375" i="4"/>
  <c r="W375" i="4" s="1"/>
  <c r="F375" i="4"/>
  <c r="X375" i="4" s="1"/>
  <c r="C376" i="4"/>
  <c r="D376" i="4"/>
  <c r="V376" i="4" s="1"/>
  <c r="E376" i="4"/>
  <c r="W376" i="4" s="1"/>
  <c r="F376" i="4"/>
  <c r="X376" i="4" s="1"/>
  <c r="C377" i="4"/>
  <c r="D377" i="4"/>
  <c r="V377" i="4" s="1"/>
  <c r="E377" i="4"/>
  <c r="W377" i="4" s="1"/>
  <c r="F377" i="4"/>
  <c r="X377" i="4" s="1"/>
  <c r="C378" i="4"/>
  <c r="D378" i="4"/>
  <c r="V378" i="4" s="1"/>
  <c r="E378" i="4"/>
  <c r="W378" i="4" s="1"/>
  <c r="F378" i="4"/>
  <c r="X378" i="4" s="1"/>
  <c r="C379" i="4"/>
  <c r="D379" i="4"/>
  <c r="V379" i="4" s="1"/>
  <c r="E379" i="4"/>
  <c r="W379" i="4" s="1"/>
  <c r="F379" i="4"/>
  <c r="X379" i="4" s="1"/>
  <c r="C380" i="4"/>
  <c r="D380" i="4"/>
  <c r="V380" i="4" s="1"/>
  <c r="E380" i="4"/>
  <c r="W380" i="4" s="1"/>
  <c r="F380" i="4"/>
  <c r="X380" i="4" s="1"/>
  <c r="C381" i="4"/>
  <c r="D381" i="4"/>
  <c r="V381" i="4" s="1"/>
  <c r="E381" i="4"/>
  <c r="W381" i="4" s="1"/>
  <c r="F381" i="4"/>
  <c r="C382" i="4"/>
  <c r="D382" i="4"/>
  <c r="V382" i="4" s="1"/>
  <c r="E382" i="4"/>
  <c r="W382" i="4" s="1"/>
  <c r="F382" i="4"/>
  <c r="X382" i="4" s="1"/>
  <c r="C383" i="4"/>
  <c r="D383" i="4"/>
  <c r="V383" i="4" s="1"/>
  <c r="E383" i="4"/>
  <c r="W383" i="4" s="1"/>
  <c r="F383" i="4"/>
  <c r="X383" i="4" s="1"/>
  <c r="C384" i="4"/>
  <c r="D384" i="4"/>
  <c r="V384" i="4" s="1"/>
  <c r="E384" i="4"/>
  <c r="W384" i="4" s="1"/>
  <c r="F384" i="4"/>
  <c r="X384" i="4" s="1"/>
  <c r="C385" i="4"/>
  <c r="D385" i="4"/>
  <c r="E385" i="4"/>
  <c r="F385" i="4"/>
  <c r="G385" i="4"/>
  <c r="C386" i="4"/>
  <c r="D386" i="4"/>
  <c r="E386" i="4"/>
  <c r="F386" i="4"/>
  <c r="C387" i="4"/>
  <c r="D387" i="4"/>
  <c r="E387" i="4"/>
  <c r="F387" i="4"/>
  <c r="D371" i="4"/>
  <c r="E371" i="4"/>
  <c r="F371" i="4"/>
  <c r="C371" i="4"/>
  <c r="C389" i="4" s="1"/>
  <c r="O387" i="4"/>
  <c r="G387" i="4"/>
  <c r="K386" i="4"/>
  <c r="G386" i="4"/>
  <c r="O385" i="4"/>
  <c r="K385" i="4"/>
  <c r="K384" i="4"/>
  <c r="G384" i="4"/>
  <c r="K383" i="4"/>
  <c r="G383" i="4"/>
  <c r="K382" i="4"/>
  <c r="O381" i="4"/>
  <c r="K381" i="4"/>
  <c r="G381" i="4"/>
  <c r="K380" i="4"/>
  <c r="G380" i="4"/>
  <c r="K379" i="4"/>
  <c r="G379" i="4"/>
  <c r="K378" i="4"/>
  <c r="G378" i="4"/>
  <c r="O377" i="4"/>
  <c r="K377" i="4"/>
  <c r="G377" i="4"/>
  <c r="K376" i="4"/>
  <c r="G376" i="4"/>
  <c r="K375" i="4"/>
  <c r="G375" i="4"/>
  <c r="K374" i="4"/>
  <c r="G374" i="4"/>
  <c r="O373" i="4"/>
  <c r="K373" i="4"/>
  <c r="G373" i="4"/>
  <c r="K372" i="4"/>
  <c r="G372" i="4"/>
  <c r="O371" i="4"/>
  <c r="K371" i="4"/>
  <c r="O363" i="4"/>
  <c r="K363" i="4"/>
  <c r="G363" i="4"/>
  <c r="O362" i="4"/>
  <c r="K362" i="4"/>
  <c r="G362" i="4"/>
  <c r="O361" i="4"/>
  <c r="K361" i="4"/>
  <c r="G361" i="4"/>
  <c r="O360" i="4"/>
  <c r="K360" i="4"/>
  <c r="G360" i="4"/>
  <c r="O359" i="4"/>
  <c r="K359" i="4"/>
  <c r="G359" i="4"/>
  <c r="O358" i="4"/>
  <c r="K358" i="4"/>
  <c r="G358" i="4"/>
  <c r="O357" i="4"/>
  <c r="O357" i="7" s="1"/>
  <c r="O365" i="7" s="1"/>
  <c r="K357" i="4"/>
  <c r="G357" i="4"/>
  <c r="G357" i="7" s="1"/>
  <c r="O356" i="4"/>
  <c r="K356" i="4"/>
  <c r="G356" i="4"/>
  <c r="O355" i="4"/>
  <c r="K355" i="4"/>
  <c r="G355" i="4"/>
  <c r="O354" i="4"/>
  <c r="K354" i="4"/>
  <c r="G354" i="4"/>
  <c r="O353" i="4"/>
  <c r="K353" i="4"/>
  <c r="G353" i="4"/>
  <c r="O352" i="4"/>
  <c r="K352" i="4"/>
  <c r="G352" i="4"/>
  <c r="O351" i="4"/>
  <c r="K351" i="4"/>
  <c r="G351" i="4"/>
  <c r="O350" i="4"/>
  <c r="K350" i="4"/>
  <c r="G350" i="4"/>
  <c r="O349" i="4"/>
  <c r="K349" i="4"/>
  <c r="G349" i="4"/>
  <c r="O348" i="4"/>
  <c r="K348" i="4"/>
  <c r="G348" i="4"/>
  <c r="O347" i="4"/>
  <c r="K347" i="4"/>
  <c r="G347" i="4"/>
  <c r="O338" i="4"/>
  <c r="K338" i="4"/>
  <c r="G338" i="4"/>
  <c r="O337" i="4"/>
  <c r="K337" i="4"/>
  <c r="G337" i="4"/>
  <c r="O336" i="4"/>
  <c r="K336" i="4"/>
  <c r="G336" i="4"/>
  <c r="O335" i="4"/>
  <c r="K335" i="4"/>
  <c r="G335" i="4"/>
  <c r="O334" i="4"/>
  <c r="K334" i="4"/>
  <c r="G334" i="4"/>
  <c r="O333" i="4"/>
  <c r="K333" i="4"/>
  <c r="G333" i="4"/>
  <c r="O332" i="4"/>
  <c r="K332" i="4"/>
  <c r="G332" i="4"/>
  <c r="O331" i="4"/>
  <c r="K331" i="4"/>
  <c r="G331" i="4"/>
  <c r="O330" i="4"/>
  <c r="K330" i="4"/>
  <c r="G330" i="4"/>
  <c r="O329" i="4"/>
  <c r="K329" i="4"/>
  <c r="G329" i="4"/>
  <c r="O328" i="4"/>
  <c r="K328" i="4"/>
  <c r="G328" i="4"/>
  <c r="O327" i="4"/>
  <c r="K327" i="4"/>
  <c r="G327" i="4"/>
  <c r="O326" i="4"/>
  <c r="K326" i="4"/>
  <c r="G326" i="4"/>
  <c r="O325" i="4"/>
  <c r="K325" i="4"/>
  <c r="G325" i="4"/>
  <c r="O324" i="4"/>
  <c r="K324" i="4"/>
  <c r="G324" i="4"/>
  <c r="O323" i="4"/>
  <c r="K323" i="4"/>
  <c r="G323" i="4"/>
  <c r="O322" i="4"/>
  <c r="O340" i="4" s="1"/>
  <c r="K322" i="4"/>
  <c r="G322" i="4"/>
  <c r="O314" i="4"/>
  <c r="K314" i="4"/>
  <c r="G314" i="4"/>
  <c r="O313" i="4"/>
  <c r="K313" i="4"/>
  <c r="G313" i="4"/>
  <c r="O312" i="4"/>
  <c r="K312" i="4"/>
  <c r="G312" i="4"/>
  <c r="O311" i="4"/>
  <c r="K311" i="4"/>
  <c r="G311" i="4"/>
  <c r="O310" i="4"/>
  <c r="K310" i="4"/>
  <c r="G310" i="4"/>
  <c r="O309" i="4"/>
  <c r="K309" i="4"/>
  <c r="G309" i="4"/>
  <c r="O308" i="4"/>
  <c r="K308" i="4"/>
  <c r="G308" i="4"/>
  <c r="O307" i="4"/>
  <c r="K307" i="4"/>
  <c r="G307" i="4"/>
  <c r="O306" i="4"/>
  <c r="K306" i="4"/>
  <c r="G306" i="4"/>
  <c r="O305" i="4"/>
  <c r="K305" i="4"/>
  <c r="G305" i="4"/>
  <c r="O304" i="4"/>
  <c r="K304" i="4"/>
  <c r="G304" i="4"/>
  <c r="O303" i="4"/>
  <c r="K303" i="4"/>
  <c r="G303" i="4"/>
  <c r="O302" i="4"/>
  <c r="K302" i="4"/>
  <c r="G302" i="4"/>
  <c r="O301" i="4"/>
  <c r="K301" i="4"/>
  <c r="G301" i="4"/>
  <c r="O300" i="4"/>
  <c r="K300" i="4"/>
  <c r="G300" i="4"/>
  <c r="O299" i="4"/>
  <c r="K299" i="4"/>
  <c r="G299" i="4"/>
  <c r="O298" i="4"/>
  <c r="O316" i="4" s="1"/>
  <c r="K298" i="4"/>
  <c r="G298" i="4"/>
  <c r="G316" i="4" s="1"/>
  <c r="L274" i="4"/>
  <c r="M274" i="4"/>
  <c r="N274" i="4"/>
  <c r="L275" i="4"/>
  <c r="M275" i="4"/>
  <c r="N275" i="4"/>
  <c r="L276" i="4"/>
  <c r="M276" i="4"/>
  <c r="N276" i="4"/>
  <c r="L277" i="4"/>
  <c r="M277" i="4"/>
  <c r="N277" i="4"/>
  <c r="L278" i="4"/>
  <c r="M278" i="4"/>
  <c r="N278" i="4"/>
  <c r="L279" i="4"/>
  <c r="M279" i="4"/>
  <c r="N279" i="4"/>
  <c r="L280" i="4"/>
  <c r="M280" i="4"/>
  <c r="N280" i="4"/>
  <c r="L281" i="4"/>
  <c r="M281" i="4"/>
  <c r="N281" i="4"/>
  <c r="L282" i="4"/>
  <c r="M282" i="4"/>
  <c r="N282" i="4"/>
  <c r="L283" i="4"/>
  <c r="M283" i="4"/>
  <c r="N283" i="4"/>
  <c r="L284" i="4"/>
  <c r="M284" i="4"/>
  <c r="N284" i="4"/>
  <c r="L285" i="4"/>
  <c r="M285" i="4"/>
  <c r="N285" i="4"/>
  <c r="L286" i="4"/>
  <c r="M286" i="4"/>
  <c r="N286" i="4"/>
  <c r="L287" i="4"/>
  <c r="M287" i="4"/>
  <c r="N287" i="4"/>
  <c r="L288" i="4"/>
  <c r="M288" i="4"/>
  <c r="N288" i="4"/>
  <c r="L289" i="4"/>
  <c r="M289" i="4"/>
  <c r="N289" i="4"/>
  <c r="N273" i="4"/>
  <c r="M273" i="4"/>
  <c r="L273" i="4"/>
  <c r="H274" i="4"/>
  <c r="I274" i="4"/>
  <c r="J274" i="4"/>
  <c r="H275" i="4"/>
  <c r="I275" i="4"/>
  <c r="J275" i="4"/>
  <c r="H276" i="4"/>
  <c r="I276" i="4"/>
  <c r="J276" i="4"/>
  <c r="H277" i="4"/>
  <c r="I277" i="4"/>
  <c r="J277" i="4"/>
  <c r="H278" i="4"/>
  <c r="I278" i="4"/>
  <c r="J278" i="4"/>
  <c r="K278" i="4" s="1"/>
  <c r="H279" i="4"/>
  <c r="I279" i="4"/>
  <c r="J279" i="4"/>
  <c r="K279" i="4"/>
  <c r="H280" i="4"/>
  <c r="I280" i="4"/>
  <c r="J280" i="4"/>
  <c r="H281" i="4"/>
  <c r="I281" i="4"/>
  <c r="J281" i="4"/>
  <c r="H282" i="4"/>
  <c r="I282" i="4"/>
  <c r="J282" i="4"/>
  <c r="K282" i="4" s="1"/>
  <c r="H283" i="4"/>
  <c r="I283" i="4"/>
  <c r="J283" i="4"/>
  <c r="K283" i="4"/>
  <c r="H284" i="4"/>
  <c r="I284" i="4"/>
  <c r="J284" i="4"/>
  <c r="H285" i="4"/>
  <c r="I285" i="4"/>
  <c r="J285" i="4"/>
  <c r="H286" i="4"/>
  <c r="I286" i="4"/>
  <c r="J286" i="4"/>
  <c r="K286" i="4" s="1"/>
  <c r="H287" i="4"/>
  <c r="I287" i="4"/>
  <c r="J287" i="4"/>
  <c r="K287" i="4"/>
  <c r="H288" i="4"/>
  <c r="I288" i="4"/>
  <c r="J288" i="4"/>
  <c r="H289" i="4"/>
  <c r="I289" i="4"/>
  <c r="J289" i="4"/>
  <c r="J273" i="4"/>
  <c r="I273" i="4"/>
  <c r="H273" i="4"/>
  <c r="C274" i="4"/>
  <c r="D274" i="4"/>
  <c r="E274" i="4"/>
  <c r="F274" i="4"/>
  <c r="C275" i="4"/>
  <c r="D275" i="4"/>
  <c r="V275" i="4" s="1"/>
  <c r="E275" i="4"/>
  <c r="W275" i="4" s="1"/>
  <c r="F275" i="4"/>
  <c r="X275" i="4" s="1"/>
  <c r="C276" i="4"/>
  <c r="D276" i="4"/>
  <c r="V276" i="4" s="1"/>
  <c r="E276" i="4"/>
  <c r="W276" i="4" s="1"/>
  <c r="F276" i="4"/>
  <c r="X276" i="4" s="1"/>
  <c r="C277" i="4"/>
  <c r="D277" i="4"/>
  <c r="V277" i="4" s="1"/>
  <c r="E277" i="4"/>
  <c r="W277" i="4" s="1"/>
  <c r="F277" i="4"/>
  <c r="X277" i="4" s="1"/>
  <c r="C278" i="4"/>
  <c r="D278" i="4"/>
  <c r="V278" i="4" s="1"/>
  <c r="E278" i="4"/>
  <c r="W278" i="4" s="1"/>
  <c r="F278" i="4"/>
  <c r="X278" i="4" s="1"/>
  <c r="C279" i="4"/>
  <c r="D279" i="4"/>
  <c r="V279" i="4" s="1"/>
  <c r="E279" i="4"/>
  <c r="W279" i="4" s="1"/>
  <c r="F279" i="4"/>
  <c r="X279" i="4" s="1"/>
  <c r="C280" i="4"/>
  <c r="D280" i="4"/>
  <c r="V280" i="4" s="1"/>
  <c r="E280" i="4"/>
  <c r="W280" i="4" s="1"/>
  <c r="F280" i="4"/>
  <c r="X280" i="4" s="1"/>
  <c r="C281" i="4"/>
  <c r="D281" i="4"/>
  <c r="V281" i="4" s="1"/>
  <c r="E281" i="4"/>
  <c r="W281" i="4" s="1"/>
  <c r="F281" i="4"/>
  <c r="X281" i="4" s="1"/>
  <c r="C282" i="4"/>
  <c r="D282" i="4"/>
  <c r="V282" i="4" s="1"/>
  <c r="E282" i="4"/>
  <c r="W282" i="4" s="1"/>
  <c r="F282" i="4"/>
  <c r="X282" i="4" s="1"/>
  <c r="C283" i="4"/>
  <c r="D283" i="4"/>
  <c r="V283" i="4" s="1"/>
  <c r="E283" i="4"/>
  <c r="F283" i="4"/>
  <c r="C284" i="4"/>
  <c r="D284" i="4"/>
  <c r="V284" i="4" s="1"/>
  <c r="E284" i="4"/>
  <c r="W284" i="4" s="1"/>
  <c r="F284" i="4"/>
  <c r="X284" i="4" s="1"/>
  <c r="C285" i="4"/>
  <c r="D285" i="4"/>
  <c r="V285" i="4" s="1"/>
  <c r="E285" i="4"/>
  <c r="W285" i="4" s="1"/>
  <c r="F285" i="4"/>
  <c r="X285" i="4" s="1"/>
  <c r="C286" i="4"/>
  <c r="D286" i="4"/>
  <c r="V286" i="4" s="1"/>
  <c r="E286" i="4"/>
  <c r="W286" i="4" s="1"/>
  <c r="F286" i="4"/>
  <c r="X286" i="4" s="1"/>
  <c r="C287" i="4"/>
  <c r="D287" i="4"/>
  <c r="V287" i="4" s="1"/>
  <c r="E287" i="4"/>
  <c r="W287" i="4" s="1"/>
  <c r="F287" i="4"/>
  <c r="X287" i="4" s="1"/>
  <c r="C288" i="4"/>
  <c r="D288" i="4"/>
  <c r="V288" i="4" s="1"/>
  <c r="E288" i="4"/>
  <c r="W288" i="4" s="1"/>
  <c r="F288" i="4"/>
  <c r="X288" i="4" s="1"/>
  <c r="C289" i="4"/>
  <c r="D289" i="4"/>
  <c r="V289" i="4" s="1"/>
  <c r="E289" i="4"/>
  <c r="W289" i="4" s="1"/>
  <c r="F289" i="4"/>
  <c r="X289" i="4" s="1"/>
  <c r="D273" i="4"/>
  <c r="V273" i="4" s="1"/>
  <c r="E273" i="4"/>
  <c r="W273" i="4" s="1"/>
  <c r="F273" i="4"/>
  <c r="X273" i="4" s="1"/>
  <c r="C273" i="4"/>
  <c r="O289" i="4"/>
  <c r="O288" i="4"/>
  <c r="K288" i="4"/>
  <c r="G288" i="4"/>
  <c r="O287" i="4"/>
  <c r="G287" i="4"/>
  <c r="O286" i="4"/>
  <c r="G286" i="4"/>
  <c r="O285" i="4"/>
  <c r="K285" i="4"/>
  <c r="G285" i="4"/>
  <c r="O284" i="4"/>
  <c r="K284" i="4"/>
  <c r="G284" i="4"/>
  <c r="O283" i="4"/>
  <c r="G283" i="4"/>
  <c r="O282" i="4"/>
  <c r="G282" i="4"/>
  <c r="O281" i="4"/>
  <c r="K281" i="4"/>
  <c r="G281" i="4"/>
  <c r="O280" i="4"/>
  <c r="K280" i="4"/>
  <c r="G280" i="4"/>
  <c r="O279" i="4"/>
  <c r="G279" i="4"/>
  <c r="O278" i="4"/>
  <c r="G278" i="4"/>
  <c r="O277" i="4"/>
  <c r="K277" i="4"/>
  <c r="G277" i="4"/>
  <c r="O276" i="4"/>
  <c r="K276" i="4"/>
  <c r="G276" i="4"/>
  <c r="O275" i="4"/>
  <c r="G275" i="4"/>
  <c r="O274" i="4"/>
  <c r="G274" i="4"/>
  <c r="O273" i="4"/>
  <c r="K273" i="4"/>
  <c r="G273" i="4"/>
  <c r="O265" i="4"/>
  <c r="K265" i="4"/>
  <c r="G265" i="4"/>
  <c r="O264" i="4"/>
  <c r="K264" i="4"/>
  <c r="G264" i="4"/>
  <c r="O263" i="4"/>
  <c r="K263" i="4"/>
  <c r="G263" i="4"/>
  <c r="O262" i="4"/>
  <c r="K262" i="4"/>
  <c r="G262" i="4"/>
  <c r="O261" i="4"/>
  <c r="K261" i="4"/>
  <c r="G261" i="4"/>
  <c r="O260" i="4"/>
  <c r="K260" i="4"/>
  <c r="G260" i="4"/>
  <c r="O259" i="4"/>
  <c r="O259" i="7" s="1"/>
  <c r="O267" i="7" s="1"/>
  <c r="K259" i="4"/>
  <c r="K259" i="7" s="1"/>
  <c r="K267" i="7" s="1"/>
  <c r="G259" i="4"/>
  <c r="G259" i="7" s="1"/>
  <c r="O258" i="4"/>
  <c r="K258" i="4"/>
  <c r="G258" i="4"/>
  <c r="O257" i="4"/>
  <c r="K257" i="4"/>
  <c r="G257" i="4"/>
  <c r="O256" i="4"/>
  <c r="K256" i="4"/>
  <c r="G256" i="4"/>
  <c r="O255" i="4"/>
  <c r="K255" i="4"/>
  <c r="G255" i="4"/>
  <c r="O254" i="4"/>
  <c r="K254" i="4"/>
  <c r="G254" i="4"/>
  <c r="O253" i="4"/>
  <c r="K253" i="4"/>
  <c r="G253" i="4"/>
  <c r="O252" i="4"/>
  <c r="K252" i="4"/>
  <c r="G252" i="4"/>
  <c r="O251" i="4"/>
  <c r="K251" i="4"/>
  <c r="G251" i="4"/>
  <c r="O250" i="4"/>
  <c r="K250" i="4"/>
  <c r="G250" i="4"/>
  <c r="O249" i="4"/>
  <c r="K249" i="4"/>
  <c r="G249" i="4"/>
  <c r="R249" i="4"/>
  <c r="S249" i="4"/>
  <c r="O240" i="4"/>
  <c r="K240" i="4"/>
  <c r="G240" i="4"/>
  <c r="O239" i="4"/>
  <c r="K239" i="4"/>
  <c r="G239" i="4"/>
  <c r="O238" i="4"/>
  <c r="K238" i="4"/>
  <c r="G238" i="4"/>
  <c r="O237" i="4"/>
  <c r="K237" i="4"/>
  <c r="G237" i="4"/>
  <c r="O236" i="4"/>
  <c r="K236" i="4"/>
  <c r="G236" i="4"/>
  <c r="O235" i="4"/>
  <c r="K235" i="4"/>
  <c r="G235" i="4"/>
  <c r="O234" i="4"/>
  <c r="O234" i="7" s="1"/>
  <c r="O242" i="7" s="1"/>
  <c r="K234" i="4"/>
  <c r="K234" i="7" s="1"/>
  <c r="K242" i="7" s="1"/>
  <c r="G234" i="4"/>
  <c r="G234" i="7" s="1"/>
  <c r="O233" i="4"/>
  <c r="K233" i="4"/>
  <c r="G233" i="4"/>
  <c r="O232" i="4"/>
  <c r="K232" i="4"/>
  <c r="G232" i="4"/>
  <c r="O231" i="4"/>
  <c r="K231" i="4"/>
  <c r="G231" i="4"/>
  <c r="O230" i="4"/>
  <c r="K230" i="4"/>
  <c r="G230" i="4"/>
  <c r="O229" i="4"/>
  <c r="K229" i="4"/>
  <c r="G229" i="4"/>
  <c r="O228" i="4"/>
  <c r="K228" i="4"/>
  <c r="G228" i="4"/>
  <c r="O227" i="4"/>
  <c r="K227" i="4"/>
  <c r="G227" i="4"/>
  <c r="O226" i="4"/>
  <c r="K226" i="4"/>
  <c r="G226" i="4"/>
  <c r="O225" i="4"/>
  <c r="K225" i="4"/>
  <c r="G225" i="4"/>
  <c r="O224" i="4"/>
  <c r="K224" i="4"/>
  <c r="G224" i="4"/>
  <c r="O216" i="4"/>
  <c r="K216" i="4"/>
  <c r="G216" i="4"/>
  <c r="O215" i="4"/>
  <c r="K215" i="4"/>
  <c r="G215" i="4"/>
  <c r="O214" i="4"/>
  <c r="K214" i="4"/>
  <c r="G214" i="4"/>
  <c r="O213" i="4"/>
  <c r="K213" i="4"/>
  <c r="O212" i="4"/>
  <c r="K212" i="4"/>
  <c r="G212" i="4"/>
  <c r="O211" i="4"/>
  <c r="K211" i="4"/>
  <c r="G211" i="4"/>
  <c r="O210" i="4"/>
  <c r="O210" i="7" s="1"/>
  <c r="O218" i="7" s="1"/>
  <c r="K210" i="4"/>
  <c r="K210" i="7" s="1"/>
  <c r="O209" i="4"/>
  <c r="K209" i="4"/>
  <c r="G209" i="4"/>
  <c r="O208" i="4"/>
  <c r="K208" i="4"/>
  <c r="G208" i="4"/>
  <c r="O207" i="4"/>
  <c r="K207" i="4"/>
  <c r="G207" i="4"/>
  <c r="O206" i="4"/>
  <c r="K206" i="4"/>
  <c r="G206" i="4"/>
  <c r="R206" i="4" s="1"/>
  <c r="O205" i="4"/>
  <c r="K205" i="4"/>
  <c r="G205" i="4"/>
  <c r="O204" i="4"/>
  <c r="K204" i="4"/>
  <c r="G204" i="4"/>
  <c r="O203" i="4"/>
  <c r="K203" i="4"/>
  <c r="G203" i="4"/>
  <c r="O202" i="4"/>
  <c r="K202" i="4"/>
  <c r="G202" i="4"/>
  <c r="O201" i="4"/>
  <c r="K201" i="4"/>
  <c r="G201" i="4"/>
  <c r="O200" i="4"/>
  <c r="K200" i="4"/>
  <c r="G200" i="4"/>
  <c r="L177" i="4"/>
  <c r="M177" i="4"/>
  <c r="N177" i="4"/>
  <c r="L178" i="4"/>
  <c r="M178" i="4"/>
  <c r="N178" i="4"/>
  <c r="L179" i="4"/>
  <c r="M179" i="4"/>
  <c r="N179" i="4"/>
  <c r="L180" i="4"/>
  <c r="M180" i="4"/>
  <c r="N180" i="4"/>
  <c r="L181" i="4"/>
  <c r="M181" i="4"/>
  <c r="N181" i="4"/>
  <c r="L182" i="4"/>
  <c r="M182" i="4"/>
  <c r="N182" i="4"/>
  <c r="L183" i="4"/>
  <c r="M183" i="4"/>
  <c r="N183" i="4"/>
  <c r="L184" i="4"/>
  <c r="M184" i="4"/>
  <c r="N184" i="4"/>
  <c r="L185" i="4"/>
  <c r="M185" i="4"/>
  <c r="N185" i="4"/>
  <c r="L186" i="4"/>
  <c r="M186" i="4"/>
  <c r="N186" i="4"/>
  <c r="L187" i="4"/>
  <c r="M187" i="4"/>
  <c r="N187" i="4"/>
  <c r="L188" i="4"/>
  <c r="M188" i="4"/>
  <c r="N188" i="4"/>
  <c r="L189" i="4"/>
  <c r="M189" i="4"/>
  <c r="N189" i="4"/>
  <c r="L190" i="4"/>
  <c r="M190" i="4"/>
  <c r="N190" i="4"/>
  <c r="L191" i="4"/>
  <c r="M191" i="4"/>
  <c r="N191" i="4"/>
  <c r="L192" i="4"/>
  <c r="M192" i="4"/>
  <c r="N192" i="4"/>
  <c r="N176" i="4"/>
  <c r="N194" i="4" s="1"/>
  <c r="M176" i="4"/>
  <c r="M194" i="4" s="1"/>
  <c r="L176" i="4"/>
  <c r="L194" i="4" s="1"/>
  <c r="H177" i="4"/>
  <c r="I177" i="4"/>
  <c r="J177" i="4"/>
  <c r="H178" i="4"/>
  <c r="I178" i="4"/>
  <c r="J178" i="4"/>
  <c r="H179" i="4"/>
  <c r="I179" i="4"/>
  <c r="J179" i="4"/>
  <c r="H180" i="4"/>
  <c r="I180" i="4"/>
  <c r="J180" i="4"/>
  <c r="H181" i="4"/>
  <c r="I181" i="4"/>
  <c r="J181" i="4"/>
  <c r="H182" i="4"/>
  <c r="I182" i="4"/>
  <c r="J182" i="4"/>
  <c r="H183" i="4"/>
  <c r="I183" i="4"/>
  <c r="J183" i="4"/>
  <c r="H184" i="4"/>
  <c r="I184" i="4"/>
  <c r="J184" i="4"/>
  <c r="H185" i="4"/>
  <c r="I185" i="4"/>
  <c r="J185" i="4"/>
  <c r="H186" i="4"/>
  <c r="I186" i="4"/>
  <c r="J186" i="4"/>
  <c r="H187" i="4"/>
  <c r="I187" i="4"/>
  <c r="J187" i="4"/>
  <c r="H188" i="4"/>
  <c r="I188" i="4"/>
  <c r="J188" i="4"/>
  <c r="H189" i="4"/>
  <c r="I189" i="4"/>
  <c r="J189" i="4"/>
  <c r="H190" i="4"/>
  <c r="I190" i="4"/>
  <c r="J190" i="4"/>
  <c r="H191" i="4"/>
  <c r="I191" i="4"/>
  <c r="J191" i="4"/>
  <c r="H192" i="4"/>
  <c r="I192" i="4"/>
  <c r="J192" i="4"/>
  <c r="J176" i="4"/>
  <c r="J194" i="4" s="1"/>
  <c r="I176" i="4"/>
  <c r="I194" i="4" s="1"/>
  <c r="H176" i="4"/>
  <c r="H194" i="4" s="1"/>
  <c r="C177" i="4"/>
  <c r="D177" i="4"/>
  <c r="E177" i="4"/>
  <c r="F177" i="4"/>
  <c r="C178" i="4"/>
  <c r="D178" i="4"/>
  <c r="E178" i="4"/>
  <c r="F178" i="4"/>
  <c r="G178" i="4"/>
  <c r="C179" i="4"/>
  <c r="D179" i="4"/>
  <c r="E179" i="4"/>
  <c r="F179" i="4"/>
  <c r="C180" i="4"/>
  <c r="D180" i="4"/>
  <c r="E180" i="4"/>
  <c r="F180" i="4"/>
  <c r="G180" i="4"/>
  <c r="C181" i="4"/>
  <c r="D181" i="4"/>
  <c r="E181" i="4"/>
  <c r="F181" i="4"/>
  <c r="G181" i="4"/>
  <c r="C182" i="4"/>
  <c r="D182" i="4"/>
  <c r="E182" i="4"/>
  <c r="F182" i="4"/>
  <c r="G182" i="4"/>
  <c r="C183" i="4"/>
  <c r="D183" i="4"/>
  <c r="E183" i="4"/>
  <c r="F183" i="4"/>
  <c r="G183" i="4"/>
  <c r="C184" i="4"/>
  <c r="D184" i="4"/>
  <c r="E184" i="4"/>
  <c r="F184" i="4"/>
  <c r="G184" i="4"/>
  <c r="C185" i="4"/>
  <c r="D185" i="4"/>
  <c r="E185" i="4"/>
  <c r="F185" i="4"/>
  <c r="C186" i="4"/>
  <c r="D186" i="4"/>
  <c r="E186" i="4"/>
  <c r="F186" i="4"/>
  <c r="G186" i="4"/>
  <c r="C187" i="4"/>
  <c r="D187" i="4"/>
  <c r="E187" i="4"/>
  <c r="F187" i="4"/>
  <c r="C188" i="4"/>
  <c r="D188" i="4"/>
  <c r="E188" i="4"/>
  <c r="F188" i="4"/>
  <c r="G188" i="4"/>
  <c r="C189" i="4"/>
  <c r="D189" i="4"/>
  <c r="E189" i="4"/>
  <c r="F189" i="4"/>
  <c r="C190" i="4"/>
  <c r="D190" i="4"/>
  <c r="E190" i="4"/>
  <c r="F190" i="4"/>
  <c r="C191" i="4"/>
  <c r="D191" i="4"/>
  <c r="E191" i="4"/>
  <c r="F191" i="4"/>
  <c r="C192" i="4"/>
  <c r="D192" i="4"/>
  <c r="E192" i="4"/>
  <c r="F192" i="4"/>
  <c r="G192" i="4"/>
  <c r="D176" i="4"/>
  <c r="D194" i="4" s="1"/>
  <c r="E176" i="4"/>
  <c r="E194" i="4" s="1"/>
  <c r="F176" i="4"/>
  <c r="F194" i="4" s="1"/>
  <c r="C176" i="4"/>
  <c r="O192" i="4"/>
  <c r="K192" i="4"/>
  <c r="O191" i="4"/>
  <c r="K191" i="4"/>
  <c r="O190" i="4"/>
  <c r="O189" i="4"/>
  <c r="K189" i="4"/>
  <c r="O188" i="4"/>
  <c r="K188" i="4"/>
  <c r="O187" i="4"/>
  <c r="K187" i="4"/>
  <c r="G187" i="4"/>
  <c r="O186" i="4"/>
  <c r="K186" i="4"/>
  <c r="O185" i="4"/>
  <c r="K185" i="4"/>
  <c r="G185" i="4"/>
  <c r="O184" i="4"/>
  <c r="K184" i="4"/>
  <c r="O183" i="4"/>
  <c r="K183" i="4"/>
  <c r="O182" i="4"/>
  <c r="K182" i="4"/>
  <c r="O181" i="4"/>
  <c r="K181" i="4"/>
  <c r="O180" i="4"/>
  <c r="K180" i="4"/>
  <c r="O179" i="4"/>
  <c r="K179" i="4"/>
  <c r="G179" i="4"/>
  <c r="O178" i="4"/>
  <c r="K178" i="4"/>
  <c r="O177" i="4"/>
  <c r="K177" i="4"/>
  <c r="G177" i="4"/>
  <c r="O168" i="4"/>
  <c r="K168" i="4"/>
  <c r="G168" i="4"/>
  <c r="O167" i="4"/>
  <c r="K167" i="4"/>
  <c r="G167" i="4"/>
  <c r="O166" i="4"/>
  <c r="K166" i="4"/>
  <c r="G166" i="4"/>
  <c r="O165" i="4"/>
  <c r="K165" i="4"/>
  <c r="G165" i="4"/>
  <c r="O164" i="4"/>
  <c r="K164" i="4"/>
  <c r="G164" i="4"/>
  <c r="O163" i="4"/>
  <c r="K163" i="4"/>
  <c r="G163" i="4"/>
  <c r="O162" i="4"/>
  <c r="K162" i="4"/>
  <c r="G162" i="4"/>
  <c r="O161" i="4"/>
  <c r="K161" i="4"/>
  <c r="G161" i="4"/>
  <c r="O160" i="4"/>
  <c r="K160" i="4"/>
  <c r="G160" i="4"/>
  <c r="O159" i="4"/>
  <c r="K159" i="4"/>
  <c r="G159" i="4"/>
  <c r="O158" i="4"/>
  <c r="K158" i="4"/>
  <c r="G158" i="4"/>
  <c r="O157" i="4"/>
  <c r="K157" i="4"/>
  <c r="G157" i="4"/>
  <c r="O156" i="4"/>
  <c r="K156" i="4"/>
  <c r="G156" i="4"/>
  <c r="O155" i="4"/>
  <c r="K155" i="4"/>
  <c r="G155" i="4"/>
  <c r="O154" i="4"/>
  <c r="K154" i="4"/>
  <c r="G154" i="4"/>
  <c r="O153" i="4"/>
  <c r="K153" i="4"/>
  <c r="G153" i="4"/>
  <c r="O152" i="4"/>
  <c r="K152" i="4"/>
  <c r="G152" i="4"/>
  <c r="O144" i="4"/>
  <c r="K144" i="4"/>
  <c r="G144" i="4"/>
  <c r="O143" i="4"/>
  <c r="K143" i="4"/>
  <c r="G143" i="4"/>
  <c r="O142" i="4"/>
  <c r="K142" i="4"/>
  <c r="G142" i="4"/>
  <c r="O141" i="4"/>
  <c r="K141" i="4"/>
  <c r="G141" i="4"/>
  <c r="O140" i="4"/>
  <c r="K140" i="4"/>
  <c r="G140" i="4"/>
  <c r="O139" i="4"/>
  <c r="K139" i="4"/>
  <c r="G139" i="4"/>
  <c r="O138" i="4"/>
  <c r="K138" i="4"/>
  <c r="G138" i="4"/>
  <c r="O137" i="4"/>
  <c r="K137" i="4"/>
  <c r="G137" i="4"/>
  <c r="O136" i="4"/>
  <c r="K136" i="4"/>
  <c r="G136" i="4"/>
  <c r="O135" i="4"/>
  <c r="K135" i="4"/>
  <c r="G135" i="4"/>
  <c r="O134" i="4"/>
  <c r="K134" i="4"/>
  <c r="G134" i="4"/>
  <c r="O133" i="4"/>
  <c r="K133" i="4"/>
  <c r="G133" i="4"/>
  <c r="O132" i="4"/>
  <c r="K132" i="4"/>
  <c r="G132" i="4"/>
  <c r="O131" i="4"/>
  <c r="K131" i="4"/>
  <c r="G131" i="4"/>
  <c r="O130" i="4"/>
  <c r="K130" i="4"/>
  <c r="G130" i="4"/>
  <c r="O129" i="4"/>
  <c r="K129" i="4"/>
  <c r="G129" i="4"/>
  <c r="O128" i="4"/>
  <c r="K128" i="4"/>
  <c r="G128" i="4"/>
  <c r="O120" i="4"/>
  <c r="K120" i="4"/>
  <c r="G120" i="4"/>
  <c r="O119" i="4"/>
  <c r="K119" i="4"/>
  <c r="G119" i="4"/>
  <c r="O118" i="4"/>
  <c r="K118" i="4"/>
  <c r="G118" i="4"/>
  <c r="O117" i="4"/>
  <c r="K117" i="4"/>
  <c r="G117" i="4"/>
  <c r="O116" i="4"/>
  <c r="K116" i="4"/>
  <c r="G116" i="4"/>
  <c r="O115" i="4"/>
  <c r="K115" i="4"/>
  <c r="G115" i="4"/>
  <c r="O114" i="4"/>
  <c r="K114" i="4"/>
  <c r="G114" i="4"/>
  <c r="O113" i="4"/>
  <c r="K113" i="4"/>
  <c r="G113" i="4"/>
  <c r="O112" i="4"/>
  <c r="K112" i="4"/>
  <c r="G112" i="4"/>
  <c r="O111" i="4"/>
  <c r="K111" i="4"/>
  <c r="G111" i="4"/>
  <c r="O110" i="4"/>
  <c r="K110" i="4"/>
  <c r="G110" i="4"/>
  <c r="O109" i="4"/>
  <c r="K109" i="4"/>
  <c r="G109" i="4"/>
  <c r="O108" i="4"/>
  <c r="K108" i="4"/>
  <c r="G108" i="4"/>
  <c r="O107" i="4"/>
  <c r="K107" i="4"/>
  <c r="G107" i="4"/>
  <c r="O106" i="4"/>
  <c r="K106" i="4"/>
  <c r="G106" i="4"/>
  <c r="O105" i="4"/>
  <c r="K105" i="4"/>
  <c r="G105" i="4"/>
  <c r="O104" i="4"/>
  <c r="K104" i="4"/>
  <c r="G104" i="4"/>
  <c r="L81" i="4"/>
  <c r="L422" i="4" s="1"/>
  <c r="M81" i="4"/>
  <c r="M422" i="4" s="1"/>
  <c r="N81" i="4"/>
  <c r="N422" i="4" s="1"/>
  <c r="L82" i="4"/>
  <c r="L423" i="4" s="1"/>
  <c r="M82" i="4"/>
  <c r="M423" i="4" s="1"/>
  <c r="N82" i="4"/>
  <c r="N423" i="4" s="1"/>
  <c r="L83" i="4"/>
  <c r="L424" i="4" s="1"/>
  <c r="M83" i="4"/>
  <c r="M424" i="4" s="1"/>
  <c r="N83" i="4"/>
  <c r="N424" i="4" s="1"/>
  <c r="L84" i="4"/>
  <c r="L425" i="4" s="1"/>
  <c r="M84" i="4"/>
  <c r="M425" i="4" s="1"/>
  <c r="N84" i="4"/>
  <c r="N425" i="4" s="1"/>
  <c r="L85" i="4"/>
  <c r="L426" i="4" s="1"/>
  <c r="M85" i="4"/>
  <c r="M426" i="4" s="1"/>
  <c r="N85" i="4"/>
  <c r="N426" i="4" s="1"/>
  <c r="L86" i="4"/>
  <c r="L427" i="4" s="1"/>
  <c r="M86" i="4"/>
  <c r="M427" i="4" s="1"/>
  <c r="N86" i="4"/>
  <c r="N427" i="4" s="1"/>
  <c r="L87" i="4"/>
  <c r="L428" i="4" s="1"/>
  <c r="M87" i="4"/>
  <c r="M428" i="4" s="1"/>
  <c r="N87" i="4"/>
  <c r="N428" i="4" s="1"/>
  <c r="L88" i="4"/>
  <c r="L429" i="4" s="1"/>
  <c r="M88" i="4"/>
  <c r="M429" i="4" s="1"/>
  <c r="N88" i="4"/>
  <c r="N429" i="4" s="1"/>
  <c r="L89" i="4"/>
  <c r="L430" i="4" s="1"/>
  <c r="M89" i="4"/>
  <c r="M430" i="4" s="1"/>
  <c r="N89" i="4"/>
  <c r="N430" i="4" s="1"/>
  <c r="L90" i="4"/>
  <c r="L431" i="4" s="1"/>
  <c r="M90" i="4"/>
  <c r="M431" i="4" s="1"/>
  <c r="N90" i="4"/>
  <c r="N431" i="4" s="1"/>
  <c r="L91" i="4"/>
  <c r="L432" i="4" s="1"/>
  <c r="M91" i="4"/>
  <c r="M432" i="4" s="1"/>
  <c r="N91" i="4"/>
  <c r="N432" i="4" s="1"/>
  <c r="L92" i="4"/>
  <c r="L433" i="4" s="1"/>
  <c r="M92" i="4"/>
  <c r="M433" i="4" s="1"/>
  <c r="N92" i="4"/>
  <c r="N433" i="4"/>
  <c r="O433" i="4"/>
  <c r="L93" i="4"/>
  <c r="L434" i="4" s="1"/>
  <c r="M93" i="4"/>
  <c r="M434" i="4" s="1"/>
  <c r="N93" i="4"/>
  <c r="N434" i="4" s="1"/>
  <c r="L94" i="4"/>
  <c r="L435" i="4" s="1"/>
  <c r="M94" i="4"/>
  <c r="M435" i="4" s="1"/>
  <c r="N94" i="4"/>
  <c r="N435" i="4" s="1"/>
  <c r="L95" i="4"/>
  <c r="L436" i="4" s="1"/>
  <c r="M95" i="4"/>
  <c r="M436" i="4" s="1"/>
  <c r="N95" i="4"/>
  <c r="N436" i="4" s="1"/>
  <c r="L96" i="4"/>
  <c r="L437" i="4" s="1"/>
  <c r="M96" i="4"/>
  <c r="M437" i="4" s="1"/>
  <c r="N96" i="4"/>
  <c r="N437" i="4" s="1"/>
  <c r="N80" i="4"/>
  <c r="M80" i="4"/>
  <c r="L80" i="4"/>
  <c r="H81" i="4"/>
  <c r="H422" i="4" s="1"/>
  <c r="I81" i="4"/>
  <c r="I422" i="4" s="1"/>
  <c r="J81" i="4"/>
  <c r="J422" i="4" s="1"/>
  <c r="H82" i="4"/>
  <c r="H423" i="4" s="1"/>
  <c r="I82" i="4"/>
  <c r="I423" i="4" s="1"/>
  <c r="J82" i="4"/>
  <c r="J423" i="4" s="1"/>
  <c r="H83" i="4"/>
  <c r="H424" i="4" s="1"/>
  <c r="I83" i="4"/>
  <c r="I424" i="4" s="1"/>
  <c r="J83" i="4"/>
  <c r="J424" i="4" s="1"/>
  <c r="H84" i="4"/>
  <c r="H425" i="4" s="1"/>
  <c r="I84" i="4"/>
  <c r="I425" i="4" s="1"/>
  <c r="J84" i="4"/>
  <c r="J425" i="4" s="1"/>
  <c r="H85" i="4"/>
  <c r="H426" i="4" s="1"/>
  <c r="I85" i="4"/>
  <c r="I426" i="4" s="1"/>
  <c r="J85" i="4"/>
  <c r="J426" i="4" s="1"/>
  <c r="H86" i="4"/>
  <c r="H427" i="4" s="1"/>
  <c r="I86" i="4"/>
  <c r="I427" i="4" s="1"/>
  <c r="J86" i="4"/>
  <c r="J427" i="4" s="1"/>
  <c r="H87" i="4"/>
  <c r="H428" i="4" s="1"/>
  <c r="I87" i="4"/>
  <c r="I428" i="4" s="1"/>
  <c r="J87" i="4"/>
  <c r="J428" i="4" s="1"/>
  <c r="H88" i="4"/>
  <c r="H429" i="4" s="1"/>
  <c r="I88" i="4"/>
  <c r="I429" i="4" s="1"/>
  <c r="J88" i="4"/>
  <c r="J429" i="4" s="1"/>
  <c r="H89" i="4"/>
  <c r="H430" i="4" s="1"/>
  <c r="I89" i="4"/>
  <c r="I430" i="4" s="1"/>
  <c r="J89" i="4"/>
  <c r="J430" i="4" s="1"/>
  <c r="H90" i="4"/>
  <c r="H431" i="4" s="1"/>
  <c r="I90" i="4"/>
  <c r="I431" i="4" s="1"/>
  <c r="J90" i="4"/>
  <c r="J431" i="4" s="1"/>
  <c r="H91" i="4"/>
  <c r="H432" i="4" s="1"/>
  <c r="I91" i="4"/>
  <c r="I432" i="4" s="1"/>
  <c r="J91" i="4"/>
  <c r="J432" i="4" s="1"/>
  <c r="H92" i="4"/>
  <c r="H433" i="4"/>
  <c r="I92" i="4"/>
  <c r="I433" i="4" s="1"/>
  <c r="J92" i="4"/>
  <c r="J433" i="4" s="1"/>
  <c r="H93" i="4"/>
  <c r="H434" i="4" s="1"/>
  <c r="I93" i="4"/>
  <c r="I434" i="4" s="1"/>
  <c r="J93" i="4"/>
  <c r="J434" i="4" s="1"/>
  <c r="H94" i="4"/>
  <c r="H435" i="4" s="1"/>
  <c r="I94" i="4"/>
  <c r="I435" i="4" s="1"/>
  <c r="J94" i="4"/>
  <c r="J435" i="4" s="1"/>
  <c r="H95" i="4"/>
  <c r="H436" i="4" s="1"/>
  <c r="I95" i="4"/>
  <c r="I436" i="4" s="1"/>
  <c r="J95" i="4"/>
  <c r="J436" i="4" s="1"/>
  <c r="H96" i="4"/>
  <c r="H437" i="4" s="1"/>
  <c r="I96" i="4"/>
  <c r="I437" i="4" s="1"/>
  <c r="J96" i="4"/>
  <c r="J437" i="4" s="1"/>
  <c r="I80" i="4"/>
  <c r="J80" i="4"/>
  <c r="H80" i="4"/>
  <c r="C81" i="4"/>
  <c r="C422" i="4"/>
  <c r="D81" i="4"/>
  <c r="D422" i="4" s="1"/>
  <c r="V422" i="4" s="1"/>
  <c r="E81" i="4"/>
  <c r="E422" i="4"/>
  <c r="W422" i="4" s="1"/>
  <c r="F81" i="4"/>
  <c r="F422" i="4" s="1"/>
  <c r="X422" i="4" s="1"/>
  <c r="C82" i="4"/>
  <c r="C423" i="4" s="1"/>
  <c r="D82" i="4"/>
  <c r="D423" i="4" s="1"/>
  <c r="V423" i="4" s="1"/>
  <c r="E82" i="4"/>
  <c r="E423" i="4" s="1"/>
  <c r="W423" i="4" s="1"/>
  <c r="F82" i="4"/>
  <c r="F423" i="4" s="1"/>
  <c r="X423" i="4" s="1"/>
  <c r="C83" i="4"/>
  <c r="C424" i="4" s="1"/>
  <c r="D83" i="4"/>
  <c r="D424" i="4" s="1"/>
  <c r="V424" i="4" s="1"/>
  <c r="E83" i="4"/>
  <c r="E424" i="4" s="1"/>
  <c r="W424" i="4" s="1"/>
  <c r="F83" i="4"/>
  <c r="F424" i="4" s="1"/>
  <c r="X424" i="4" s="1"/>
  <c r="C84" i="4"/>
  <c r="C425" i="4" s="1"/>
  <c r="D84" i="4"/>
  <c r="D425" i="4" s="1"/>
  <c r="V425" i="4" s="1"/>
  <c r="E84" i="4"/>
  <c r="E425" i="4" s="1"/>
  <c r="W425" i="4" s="1"/>
  <c r="F84" i="4"/>
  <c r="F425" i="4" s="1"/>
  <c r="C85" i="4"/>
  <c r="C426" i="4" s="1"/>
  <c r="D85" i="4"/>
  <c r="D426" i="4" s="1"/>
  <c r="V426" i="4" s="1"/>
  <c r="E85" i="4"/>
  <c r="E426" i="4" s="1"/>
  <c r="W426" i="4" s="1"/>
  <c r="F85" i="4"/>
  <c r="F426" i="4" s="1"/>
  <c r="X426" i="4" s="1"/>
  <c r="C86" i="4"/>
  <c r="C427" i="4"/>
  <c r="D86" i="4"/>
  <c r="D427" i="4"/>
  <c r="V427" i="4" s="1"/>
  <c r="E86" i="4"/>
  <c r="E427" i="4" s="1"/>
  <c r="F86" i="4"/>
  <c r="F427" i="4" s="1"/>
  <c r="C87" i="4"/>
  <c r="C428" i="4" s="1"/>
  <c r="D87" i="4"/>
  <c r="D428" i="4" s="1"/>
  <c r="E87" i="4"/>
  <c r="E428" i="4" s="1"/>
  <c r="W428" i="4" s="1"/>
  <c r="F87" i="4"/>
  <c r="F428" i="4" s="1"/>
  <c r="C88" i="4"/>
  <c r="C429" i="4" s="1"/>
  <c r="D88" i="4"/>
  <c r="D429" i="4" s="1"/>
  <c r="V429" i="4" s="1"/>
  <c r="E88" i="4"/>
  <c r="E429" i="4" s="1"/>
  <c r="W429" i="4" s="1"/>
  <c r="F88" i="4"/>
  <c r="F429" i="4" s="1"/>
  <c r="X429" i="4" s="1"/>
  <c r="C89" i="4"/>
  <c r="C430" i="4" s="1"/>
  <c r="D89" i="4"/>
  <c r="D430" i="4" s="1"/>
  <c r="V430" i="4" s="1"/>
  <c r="E89" i="4"/>
  <c r="E430" i="4" s="1"/>
  <c r="W430" i="4" s="1"/>
  <c r="F89" i="4"/>
  <c r="F430" i="4" s="1"/>
  <c r="X430" i="4" s="1"/>
  <c r="C90" i="4"/>
  <c r="C431" i="4" s="1"/>
  <c r="D90" i="4"/>
  <c r="D431" i="4" s="1"/>
  <c r="V431" i="4" s="1"/>
  <c r="E90" i="4"/>
  <c r="E431" i="4" s="1"/>
  <c r="F90" i="4"/>
  <c r="F431" i="4" s="1"/>
  <c r="C91" i="4"/>
  <c r="C432" i="4" s="1"/>
  <c r="D91" i="4"/>
  <c r="D432" i="4" s="1"/>
  <c r="V432" i="4" s="1"/>
  <c r="E91" i="4"/>
  <c r="E432" i="4" s="1"/>
  <c r="F91" i="4"/>
  <c r="F432" i="4" s="1"/>
  <c r="C92" i="4"/>
  <c r="C433" i="4"/>
  <c r="D92" i="4"/>
  <c r="D433" i="4" s="1"/>
  <c r="V433" i="4" s="1"/>
  <c r="E92" i="4"/>
  <c r="E433" i="4" s="1"/>
  <c r="W433" i="4" s="1"/>
  <c r="F92" i="4"/>
  <c r="F433" i="4" s="1"/>
  <c r="X433" i="4" s="1"/>
  <c r="C93" i="4"/>
  <c r="C434" i="4" s="1"/>
  <c r="D93" i="4"/>
  <c r="D434" i="4" s="1"/>
  <c r="V434" i="4" s="1"/>
  <c r="E93" i="4"/>
  <c r="E434" i="4" s="1"/>
  <c r="W434" i="4" s="1"/>
  <c r="F93" i="4"/>
  <c r="F434" i="4" s="1"/>
  <c r="X434" i="4" s="1"/>
  <c r="C94" i="4"/>
  <c r="C435" i="4" s="1"/>
  <c r="D94" i="4"/>
  <c r="D435" i="4" s="1"/>
  <c r="V435" i="4" s="1"/>
  <c r="E94" i="4"/>
  <c r="E435" i="4" s="1"/>
  <c r="W435" i="4" s="1"/>
  <c r="F94" i="4"/>
  <c r="F435" i="4" s="1"/>
  <c r="X435" i="4" s="1"/>
  <c r="G94" i="4"/>
  <c r="C95" i="4"/>
  <c r="C436" i="4" s="1"/>
  <c r="D95" i="4"/>
  <c r="D436" i="4" s="1"/>
  <c r="V436" i="4" s="1"/>
  <c r="E95" i="4"/>
  <c r="E436" i="4" s="1"/>
  <c r="W436" i="4" s="1"/>
  <c r="F95" i="4"/>
  <c r="F436" i="4" s="1"/>
  <c r="X436" i="4" s="1"/>
  <c r="C96" i="4"/>
  <c r="D96" i="4"/>
  <c r="E96" i="4"/>
  <c r="E437" i="4" s="1"/>
  <c r="W437" i="4" s="1"/>
  <c r="F96" i="4"/>
  <c r="F437" i="4" s="1"/>
  <c r="X437" i="4" s="1"/>
  <c r="D80" i="4"/>
  <c r="D421" i="4" s="1"/>
  <c r="E80" i="4"/>
  <c r="F80" i="4"/>
  <c r="C80" i="4"/>
  <c r="C98" i="4" s="1"/>
  <c r="O96" i="4"/>
  <c r="K96" i="4"/>
  <c r="G96" i="4"/>
  <c r="O95" i="4"/>
  <c r="K95" i="4"/>
  <c r="G95" i="4"/>
  <c r="O94" i="4"/>
  <c r="K94" i="4"/>
  <c r="O93" i="4"/>
  <c r="K93" i="4"/>
  <c r="G93" i="4"/>
  <c r="O92" i="4"/>
  <c r="K92" i="4"/>
  <c r="G92" i="4"/>
  <c r="O91" i="4"/>
  <c r="K91" i="4"/>
  <c r="G91" i="4"/>
  <c r="O90" i="4"/>
  <c r="K90" i="4"/>
  <c r="G90" i="4"/>
  <c r="O89" i="4"/>
  <c r="K89" i="4"/>
  <c r="G89" i="4"/>
  <c r="O88" i="4"/>
  <c r="K88" i="4"/>
  <c r="G88" i="4"/>
  <c r="O87" i="4"/>
  <c r="K87" i="4"/>
  <c r="G87" i="4"/>
  <c r="O86" i="4"/>
  <c r="K86" i="4"/>
  <c r="G86" i="4"/>
  <c r="O85" i="4"/>
  <c r="K85" i="4"/>
  <c r="G85" i="4"/>
  <c r="O84" i="4"/>
  <c r="K84" i="4"/>
  <c r="G84" i="4"/>
  <c r="O83" i="4"/>
  <c r="K83" i="4"/>
  <c r="G83" i="4"/>
  <c r="O82" i="4"/>
  <c r="K82" i="4"/>
  <c r="G82" i="4"/>
  <c r="O81" i="4"/>
  <c r="K81" i="4"/>
  <c r="G81" i="4"/>
  <c r="O80" i="4"/>
  <c r="K80" i="4"/>
  <c r="G80" i="4"/>
  <c r="O72" i="4"/>
  <c r="K72" i="4"/>
  <c r="G72" i="4"/>
  <c r="O71" i="4"/>
  <c r="K71" i="4"/>
  <c r="G71" i="4"/>
  <c r="O70" i="4"/>
  <c r="K70" i="4"/>
  <c r="G70" i="4"/>
  <c r="O69" i="4"/>
  <c r="K69" i="4"/>
  <c r="G69" i="4"/>
  <c r="O68" i="4"/>
  <c r="K68" i="4"/>
  <c r="G68" i="4"/>
  <c r="O67" i="4"/>
  <c r="K67" i="4"/>
  <c r="G67" i="4"/>
  <c r="O66" i="4"/>
  <c r="K66" i="4"/>
  <c r="G66" i="4"/>
  <c r="O65" i="4"/>
  <c r="K65" i="4"/>
  <c r="G65" i="4"/>
  <c r="O64" i="4"/>
  <c r="K64" i="4"/>
  <c r="G64" i="4"/>
  <c r="O63" i="4"/>
  <c r="K63" i="4"/>
  <c r="G63" i="4"/>
  <c r="O62" i="4"/>
  <c r="K62" i="4"/>
  <c r="G62" i="4"/>
  <c r="O61" i="4"/>
  <c r="K61" i="4"/>
  <c r="G61" i="4"/>
  <c r="O60" i="4"/>
  <c r="K60" i="4"/>
  <c r="G60" i="4"/>
  <c r="O59" i="4"/>
  <c r="K59" i="4"/>
  <c r="G59" i="4"/>
  <c r="O58" i="4"/>
  <c r="K58" i="4"/>
  <c r="G58" i="4"/>
  <c r="O57" i="4"/>
  <c r="K57" i="4"/>
  <c r="G57" i="4"/>
  <c r="O56" i="4"/>
  <c r="K56" i="4"/>
  <c r="G56" i="4"/>
  <c r="O48" i="4"/>
  <c r="K48" i="4"/>
  <c r="G48" i="4"/>
  <c r="O47" i="4"/>
  <c r="K47" i="4"/>
  <c r="G47" i="4"/>
  <c r="O46" i="4"/>
  <c r="K46" i="4"/>
  <c r="G46" i="4"/>
  <c r="O45" i="4"/>
  <c r="K45" i="4"/>
  <c r="G45" i="4"/>
  <c r="O44" i="4"/>
  <c r="K44" i="4"/>
  <c r="G44" i="4"/>
  <c r="O43" i="4"/>
  <c r="K43" i="4"/>
  <c r="G43" i="4"/>
  <c r="O42" i="4"/>
  <c r="K42" i="4"/>
  <c r="G42" i="4"/>
  <c r="O41" i="4"/>
  <c r="K41" i="4"/>
  <c r="G41" i="4"/>
  <c r="O40" i="4"/>
  <c r="K40" i="4"/>
  <c r="G40" i="4"/>
  <c r="O39" i="4"/>
  <c r="K39" i="4"/>
  <c r="G39" i="4"/>
  <c r="O38" i="4"/>
  <c r="K38" i="4"/>
  <c r="G38" i="4"/>
  <c r="O37" i="4"/>
  <c r="K37" i="4"/>
  <c r="G37" i="4"/>
  <c r="O36" i="4"/>
  <c r="K36" i="4"/>
  <c r="G36" i="4"/>
  <c r="O35" i="4"/>
  <c r="K35" i="4"/>
  <c r="G35" i="4"/>
  <c r="O34" i="4"/>
  <c r="K34" i="4"/>
  <c r="G34" i="4"/>
  <c r="O33" i="4"/>
  <c r="K33" i="4"/>
  <c r="G33" i="4"/>
  <c r="O32" i="4"/>
  <c r="K32" i="4"/>
  <c r="G32" i="4"/>
  <c r="G20" i="4"/>
  <c r="O14" i="4"/>
  <c r="O15" i="4"/>
  <c r="O16" i="4"/>
  <c r="O17" i="4"/>
  <c r="O18" i="4"/>
  <c r="O19" i="4"/>
  <c r="O20" i="4"/>
  <c r="O21" i="4"/>
  <c r="O22" i="4"/>
  <c r="O23" i="4"/>
  <c r="O8" i="4"/>
  <c r="O9" i="4"/>
  <c r="O10" i="4"/>
  <c r="O11" i="4"/>
  <c r="O12" i="4"/>
  <c r="O13" i="4"/>
  <c r="O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7" i="4"/>
  <c r="G8" i="4"/>
  <c r="R8" i="4"/>
  <c r="S8" i="4"/>
  <c r="G9" i="4"/>
  <c r="R9" i="4"/>
  <c r="S9" i="4"/>
  <c r="G10" i="4"/>
  <c r="R10" i="4"/>
  <c r="S10" i="4"/>
  <c r="G11" i="4"/>
  <c r="R11" i="4"/>
  <c r="S11" i="4"/>
  <c r="G12" i="4"/>
  <c r="R12" i="4"/>
  <c r="S12" i="4"/>
  <c r="G13" i="4"/>
  <c r="R13" i="4"/>
  <c r="S13" i="4"/>
  <c r="G14" i="4"/>
  <c r="R14" i="4"/>
  <c r="S14" i="4"/>
  <c r="G15" i="4"/>
  <c r="R15" i="4"/>
  <c r="S15" i="4"/>
  <c r="G16" i="4"/>
  <c r="G17" i="4"/>
  <c r="R17" i="4"/>
  <c r="S17" i="4"/>
  <c r="G18" i="4"/>
  <c r="R18" i="4"/>
  <c r="S18" i="4"/>
  <c r="G19" i="4"/>
  <c r="R20" i="4"/>
  <c r="S20" i="4"/>
  <c r="G21" i="4"/>
  <c r="G22" i="4"/>
  <c r="G23" i="4"/>
  <c r="G7" i="4"/>
  <c r="R7" i="4"/>
  <c r="S7" i="4"/>
  <c r="E8" i="5"/>
  <c r="E9" i="5"/>
  <c r="E10" i="5"/>
  <c r="E11" i="5"/>
  <c r="E12" i="5"/>
  <c r="E13" i="5"/>
  <c r="E14" i="5"/>
  <c r="E15" i="5"/>
  <c r="E7" i="5"/>
  <c r="Z111" i="5"/>
  <c r="AB111" i="5" s="1"/>
  <c r="G95" i="5"/>
  <c r="G96" i="5"/>
  <c r="G97" i="5"/>
  <c r="G98" i="5"/>
  <c r="G99" i="5"/>
  <c r="G100" i="5"/>
  <c r="G101" i="5"/>
  <c r="G102" i="5"/>
  <c r="Q94" i="5"/>
  <c r="I94" i="5"/>
  <c r="G78" i="5"/>
  <c r="G79" i="5"/>
  <c r="G80" i="5"/>
  <c r="G81" i="5"/>
  <c r="G82" i="5"/>
  <c r="G83" i="5"/>
  <c r="G84" i="5"/>
  <c r="G85" i="5"/>
  <c r="U77" i="5"/>
  <c r="Q77" i="5"/>
  <c r="M77" i="5"/>
  <c r="I60" i="5"/>
  <c r="M43" i="5"/>
  <c r="M26" i="5"/>
  <c r="G61" i="5"/>
  <c r="G62" i="5"/>
  <c r="G63" i="5"/>
  <c r="G64" i="5"/>
  <c r="G65" i="5"/>
  <c r="G66" i="5"/>
  <c r="G67" i="5"/>
  <c r="G68" i="5"/>
  <c r="Z112" i="5"/>
  <c r="Z113" i="5"/>
  <c r="Z114" i="5"/>
  <c r="Z115" i="5"/>
  <c r="Z116" i="5"/>
  <c r="Z117" i="5"/>
  <c r="Z118" i="5"/>
  <c r="Z119" i="5"/>
  <c r="G32" i="5"/>
  <c r="G33" i="5"/>
  <c r="G34" i="5"/>
  <c r="G8" i="5"/>
  <c r="G9" i="5"/>
  <c r="G10" i="5"/>
  <c r="G11" i="5"/>
  <c r="G12" i="5"/>
  <c r="G13" i="5"/>
  <c r="G14" i="5"/>
  <c r="G15" i="5"/>
  <c r="V86" i="5"/>
  <c r="AB112" i="5"/>
  <c r="AB113" i="5"/>
  <c r="AB114" i="5"/>
  <c r="AB115" i="5"/>
  <c r="AB116" i="5"/>
  <c r="AB117" i="5"/>
  <c r="AB118" i="5"/>
  <c r="AB119" i="5"/>
  <c r="Z120" i="5"/>
  <c r="O94" i="5"/>
  <c r="P94" i="5"/>
  <c r="K94" i="5"/>
  <c r="L94" i="5"/>
  <c r="M94" i="5"/>
  <c r="U94" i="5"/>
  <c r="G94" i="5"/>
  <c r="H94" i="5"/>
  <c r="T94" i="5"/>
  <c r="I102" i="5"/>
  <c r="H102" i="5"/>
  <c r="I101" i="5"/>
  <c r="H101" i="5"/>
  <c r="I100" i="5"/>
  <c r="H100" i="5"/>
  <c r="I99" i="5"/>
  <c r="H99" i="5"/>
  <c r="I98" i="5"/>
  <c r="H98" i="5"/>
  <c r="I97" i="5"/>
  <c r="H97" i="5"/>
  <c r="I96" i="5"/>
  <c r="H96" i="5"/>
  <c r="I95" i="5"/>
  <c r="H95" i="5"/>
  <c r="S77" i="5"/>
  <c r="T77" i="5"/>
  <c r="U85" i="5"/>
  <c r="T85" i="5"/>
  <c r="S85" i="5"/>
  <c r="U84" i="5"/>
  <c r="T84" i="5"/>
  <c r="S84" i="5"/>
  <c r="U83" i="5"/>
  <c r="T83" i="5"/>
  <c r="S83" i="5"/>
  <c r="U82" i="5"/>
  <c r="T82" i="5"/>
  <c r="S82" i="5"/>
  <c r="U81" i="5"/>
  <c r="T81" i="5"/>
  <c r="S81" i="5"/>
  <c r="U80" i="5"/>
  <c r="T80" i="5"/>
  <c r="S80" i="5"/>
  <c r="U79" i="5"/>
  <c r="T79" i="5"/>
  <c r="S79" i="5"/>
  <c r="U78" i="5"/>
  <c r="T78" i="5"/>
  <c r="S78" i="5"/>
  <c r="S86" i="5"/>
  <c r="O77" i="5"/>
  <c r="P77" i="5"/>
  <c r="K77" i="5"/>
  <c r="L77" i="5"/>
  <c r="G77" i="5"/>
  <c r="G86" i="5"/>
  <c r="H77" i="5"/>
  <c r="I77" i="5"/>
  <c r="I85" i="5"/>
  <c r="H85" i="5"/>
  <c r="I84" i="5"/>
  <c r="H84" i="5"/>
  <c r="I83" i="5"/>
  <c r="H83" i="5"/>
  <c r="I82" i="5"/>
  <c r="H82" i="5"/>
  <c r="I81" i="5"/>
  <c r="H81" i="5"/>
  <c r="I80" i="5"/>
  <c r="H80" i="5"/>
  <c r="I79" i="5"/>
  <c r="H79" i="5"/>
  <c r="I78" i="5"/>
  <c r="H78" i="5"/>
  <c r="V69" i="5"/>
  <c r="O60" i="5"/>
  <c r="P60" i="5"/>
  <c r="Q60" i="5"/>
  <c r="K60" i="5"/>
  <c r="L60" i="5"/>
  <c r="M60" i="5"/>
  <c r="G60" i="5"/>
  <c r="H60" i="5"/>
  <c r="T60" i="5"/>
  <c r="I68" i="5"/>
  <c r="H68" i="5"/>
  <c r="I67" i="5"/>
  <c r="H67" i="5"/>
  <c r="I66" i="5"/>
  <c r="H66" i="5"/>
  <c r="I65" i="5"/>
  <c r="H65" i="5"/>
  <c r="I64" i="5"/>
  <c r="H64" i="5"/>
  <c r="I63" i="5"/>
  <c r="H63" i="5"/>
  <c r="I62" i="5"/>
  <c r="H62" i="5"/>
  <c r="I61" i="5"/>
  <c r="H61" i="5"/>
  <c r="O43" i="5"/>
  <c r="P43" i="5"/>
  <c r="Q43" i="5"/>
  <c r="K43" i="5"/>
  <c r="L43" i="5"/>
  <c r="I31" i="5"/>
  <c r="G31" i="5"/>
  <c r="S31" i="5"/>
  <c r="S30" i="5"/>
  <c r="T30" i="5"/>
  <c r="U30" i="5"/>
  <c r="S29" i="5"/>
  <c r="T29" i="5"/>
  <c r="U29" i="5"/>
  <c r="I28" i="5"/>
  <c r="G28" i="5"/>
  <c r="S28" i="5"/>
  <c r="T28" i="5"/>
  <c r="U28" i="5"/>
  <c r="S27" i="5"/>
  <c r="T27" i="5"/>
  <c r="U27" i="5"/>
  <c r="I43" i="5"/>
  <c r="U43" i="5" s="1"/>
  <c r="H43" i="5"/>
  <c r="T43" i="5"/>
  <c r="G43" i="5"/>
  <c r="S43" i="5"/>
  <c r="G51" i="5"/>
  <c r="H51" i="5"/>
  <c r="I51" i="5"/>
  <c r="G50" i="5"/>
  <c r="H50" i="5"/>
  <c r="I50" i="5"/>
  <c r="G49" i="5"/>
  <c r="H49" i="5"/>
  <c r="I49" i="5"/>
  <c r="G48" i="5"/>
  <c r="H48" i="5"/>
  <c r="I48" i="5"/>
  <c r="G47" i="5"/>
  <c r="H47" i="5"/>
  <c r="I47" i="5"/>
  <c r="G46" i="5"/>
  <c r="H46" i="5"/>
  <c r="I46" i="5"/>
  <c r="G45" i="5"/>
  <c r="H45" i="5"/>
  <c r="I45" i="5"/>
  <c r="S26" i="5"/>
  <c r="T26" i="5"/>
  <c r="U34" i="5"/>
  <c r="T34" i="5"/>
  <c r="S34" i="5"/>
  <c r="U33" i="5"/>
  <c r="T33" i="5"/>
  <c r="S33" i="5"/>
  <c r="U32" i="5"/>
  <c r="T32" i="5"/>
  <c r="S32" i="5"/>
  <c r="U31" i="5"/>
  <c r="T31" i="5"/>
  <c r="K26" i="5"/>
  <c r="K111" i="5" s="1"/>
  <c r="L26" i="5"/>
  <c r="L111" i="5" s="1"/>
  <c r="I34" i="5"/>
  <c r="H34" i="5"/>
  <c r="I33" i="5"/>
  <c r="H33" i="5"/>
  <c r="I32" i="5"/>
  <c r="H32" i="5"/>
  <c r="H31" i="5"/>
  <c r="H30" i="5"/>
  <c r="H29" i="5"/>
  <c r="H28" i="5"/>
  <c r="I15" i="5"/>
  <c r="I119" i="5" s="1"/>
  <c r="H15" i="5"/>
  <c r="H119" i="5" s="1"/>
  <c r="I14" i="5"/>
  <c r="I118" i="5" s="1"/>
  <c r="H14" i="5"/>
  <c r="H118" i="5" s="1"/>
  <c r="I13" i="5"/>
  <c r="I117" i="5" s="1"/>
  <c r="H13" i="5"/>
  <c r="H117" i="5" s="1"/>
  <c r="I12" i="5"/>
  <c r="I116" i="5" s="1"/>
  <c r="H12" i="5"/>
  <c r="H116" i="5" s="1"/>
  <c r="I11" i="5"/>
  <c r="H11" i="5"/>
  <c r="H115" i="5" s="1"/>
  <c r="I10" i="5"/>
  <c r="H10" i="5"/>
  <c r="H114" i="5" s="1"/>
  <c r="I9" i="5"/>
  <c r="I113" i="5" s="1"/>
  <c r="H9" i="5"/>
  <c r="H113" i="5" s="1"/>
  <c r="I8" i="5"/>
  <c r="H8" i="5"/>
  <c r="O102" i="5"/>
  <c r="L102" i="5"/>
  <c r="Q100" i="5"/>
  <c r="L100" i="5"/>
  <c r="Q98" i="5"/>
  <c r="L98" i="5"/>
  <c r="Q85" i="5"/>
  <c r="L85" i="5"/>
  <c r="P83" i="5"/>
  <c r="P81" i="5"/>
  <c r="V120" i="5"/>
  <c r="AC120" i="5" s="1"/>
  <c r="AB120" i="5"/>
  <c r="Q68" i="5"/>
  <c r="L68" i="5"/>
  <c r="O66" i="5"/>
  <c r="L66" i="5"/>
  <c r="O64" i="5"/>
  <c r="L64" i="5"/>
  <c r="R103" i="5"/>
  <c r="Z103" i="5" s="1"/>
  <c r="R86" i="5"/>
  <c r="Z86" i="5" s="1"/>
  <c r="J69" i="5"/>
  <c r="X69" i="5" s="1"/>
  <c r="N52" i="5"/>
  <c r="Y52" i="5" s="1"/>
  <c r="K33" i="5"/>
  <c r="P31" i="5"/>
  <c r="M31" i="5"/>
  <c r="P29" i="5"/>
  <c r="M29" i="5"/>
  <c r="K28" i="5"/>
  <c r="P27" i="5"/>
  <c r="M27" i="5"/>
  <c r="P14" i="5"/>
  <c r="P9" i="5"/>
  <c r="S94" i="5"/>
  <c r="O95" i="5"/>
  <c r="P95" i="5"/>
  <c r="Q95" i="5"/>
  <c r="O96" i="5"/>
  <c r="P96" i="5"/>
  <c r="Q96" i="5"/>
  <c r="O97" i="5"/>
  <c r="P97" i="5"/>
  <c r="Q97" i="5"/>
  <c r="O98" i="5"/>
  <c r="P98" i="5"/>
  <c r="O99" i="5"/>
  <c r="P99" i="5"/>
  <c r="Q99" i="5"/>
  <c r="P100" i="5"/>
  <c r="O101" i="5"/>
  <c r="P101" i="5"/>
  <c r="Q101" i="5"/>
  <c r="P102" i="5"/>
  <c r="T102" i="5"/>
  <c r="Q102" i="5"/>
  <c r="K95" i="5"/>
  <c r="S95" i="5"/>
  <c r="L95" i="5"/>
  <c r="M95" i="5"/>
  <c r="U95" i="5"/>
  <c r="K96" i="5"/>
  <c r="S96" i="5" s="1"/>
  <c r="L96" i="5"/>
  <c r="T96" i="5"/>
  <c r="M96" i="5"/>
  <c r="U96" i="5"/>
  <c r="K97" i="5"/>
  <c r="S97" i="5" s="1"/>
  <c r="L97" i="5"/>
  <c r="T97" i="5"/>
  <c r="M97" i="5"/>
  <c r="U97" i="5" s="1"/>
  <c r="K98" i="5"/>
  <c r="S98" i="5"/>
  <c r="T98" i="5"/>
  <c r="M98" i="5"/>
  <c r="U98" i="5"/>
  <c r="K99" i="5"/>
  <c r="S99" i="5"/>
  <c r="L99" i="5"/>
  <c r="T99" i="5"/>
  <c r="M99" i="5"/>
  <c r="U99" i="5"/>
  <c r="K100" i="5"/>
  <c r="T100" i="5"/>
  <c r="M100" i="5"/>
  <c r="U100" i="5"/>
  <c r="K101" i="5"/>
  <c r="S101" i="5" s="1"/>
  <c r="L101" i="5"/>
  <c r="T101" i="5"/>
  <c r="M101" i="5"/>
  <c r="U101" i="5"/>
  <c r="K102" i="5"/>
  <c r="S102" i="5"/>
  <c r="M102" i="5"/>
  <c r="U102" i="5" s="1"/>
  <c r="N103" i="5"/>
  <c r="Y103" i="5" s="1"/>
  <c r="T86" i="5"/>
  <c r="O78" i="5"/>
  <c r="P78" i="5"/>
  <c r="Q78" i="5"/>
  <c r="O79" i="5"/>
  <c r="P79" i="5"/>
  <c r="Q79" i="5"/>
  <c r="O80" i="5"/>
  <c r="P80" i="5"/>
  <c r="Q80" i="5"/>
  <c r="O81" i="5"/>
  <c r="Q81" i="5"/>
  <c r="O82" i="5"/>
  <c r="P82" i="5"/>
  <c r="Q82" i="5"/>
  <c r="O83" i="5"/>
  <c r="Q83" i="5"/>
  <c r="O84" i="5"/>
  <c r="P84" i="5"/>
  <c r="Q84" i="5"/>
  <c r="O85" i="5"/>
  <c r="P85" i="5"/>
  <c r="O86" i="5"/>
  <c r="K78" i="5"/>
  <c r="L78" i="5"/>
  <c r="M78" i="5"/>
  <c r="K79" i="5"/>
  <c r="L79" i="5"/>
  <c r="M79" i="5"/>
  <c r="K80" i="5"/>
  <c r="L80" i="5"/>
  <c r="M80" i="5"/>
  <c r="K81" i="5"/>
  <c r="L81" i="5"/>
  <c r="M81" i="5"/>
  <c r="K82" i="5"/>
  <c r="L82" i="5"/>
  <c r="M82" i="5"/>
  <c r="K83" i="5"/>
  <c r="L83" i="5"/>
  <c r="M83" i="5"/>
  <c r="K84" i="5"/>
  <c r="L84" i="5"/>
  <c r="M84" i="5"/>
  <c r="K85" i="5"/>
  <c r="M85" i="5"/>
  <c r="I86" i="5"/>
  <c r="H86" i="5"/>
  <c r="I69" i="5"/>
  <c r="G69" i="5"/>
  <c r="S60" i="5"/>
  <c r="O61" i="5"/>
  <c r="P61" i="5"/>
  <c r="Q61" i="5"/>
  <c r="O62" i="5"/>
  <c r="P62" i="5"/>
  <c r="Q62" i="5"/>
  <c r="O63" i="5"/>
  <c r="P63" i="5"/>
  <c r="Q63" i="5"/>
  <c r="Q64" i="5"/>
  <c r="O65" i="5"/>
  <c r="P65" i="5"/>
  <c r="Q65" i="5"/>
  <c r="P66" i="5"/>
  <c r="Q66" i="5"/>
  <c r="O67" i="5"/>
  <c r="P67" i="5"/>
  <c r="Q67" i="5"/>
  <c r="O68" i="5"/>
  <c r="R69" i="5"/>
  <c r="Z69" i="5" s="1"/>
  <c r="L61" i="5"/>
  <c r="T61" i="5"/>
  <c r="L62" i="5"/>
  <c r="T62" i="5"/>
  <c r="L63" i="5"/>
  <c r="T63" i="5"/>
  <c r="K64" i="5"/>
  <c r="S64" i="5"/>
  <c r="M64" i="5"/>
  <c r="L65" i="5"/>
  <c r="T65" i="5"/>
  <c r="K66" i="5"/>
  <c r="S66" i="5"/>
  <c r="T66" i="5"/>
  <c r="L67" i="5"/>
  <c r="T67" i="5"/>
  <c r="K68" i="5"/>
  <c r="S68" i="5"/>
  <c r="M68" i="5"/>
  <c r="U68" i="5"/>
  <c r="L69" i="5"/>
  <c r="N69" i="5"/>
  <c r="Y69" i="5" s="1"/>
  <c r="H69" i="5"/>
  <c r="O44" i="5"/>
  <c r="P44" i="5"/>
  <c r="Q44" i="5"/>
  <c r="O45" i="5"/>
  <c r="P45" i="5"/>
  <c r="Q45" i="5"/>
  <c r="O46" i="5"/>
  <c r="P46" i="5"/>
  <c r="Q46" i="5"/>
  <c r="O47" i="5"/>
  <c r="P47" i="5"/>
  <c r="Q47" i="5"/>
  <c r="O48" i="5"/>
  <c r="P48" i="5"/>
  <c r="Q48" i="5"/>
  <c r="O49" i="5"/>
  <c r="P49" i="5"/>
  <c r="Q49" i="5"/>
  <c r="O50" i="5"/>
  <c r="P50" i="5"/>
  <c r="Q50" i="5"/>
  <c r="O51" i="5"/>
  <c r="P51" i="5"/>
  <c r="Q51" i="5"/>
  <c r="R52" i="5"/>
  <c r="Z52" i="5" s="1"/>
  <c r="K44" i="5"/>
  <c r="L44" i="5"/>
  <c r="M44" i="5"/>
  <c r="K45" i="5"/>
  <c r="S45" i="5"/>
  <c r="L45" i="5"/>
  <c r="T45" i="5"/>
  <c r="M45" i="5"/>
  <c r="U45" i="5"/>
  <c r="K46" i="5"/>
  <c r="S46" i="5"/>
  <c r="L46" i="5"/>
  <c r="M46" i="5"/>
  <c r="U46" i="5"/>
  <c r="K47" i="5"/>
  <c r="S47" i="5"/>
  <c r="L47" i="5"/>
  <c r="T47" i="5"/>
  <c r="M47" i="5"/>
  <c r="U47" i="5"/>
  <c r="K48" i="5"/>
  <c r="S48" i="5"/>
  <c r="L48" i="5"/>
  <c r="T48" i="5"/>
  <c r="M48" i="5"/>
  <c r="U48" i="5"/>
  <c r="K49" i="5"/>
  <c r="L49" i="5"/>
  <c r="T49" i="5"/>
  <c r="M49" i="5"/>
  <c r="K50" i="5"/>
  <c r="S50" i="5"/>
  <c r="L50" i="5"/>
  <c r="T50" i="5"/>
  <c r="M50" i="5"/>
  <c r="U50" i="5"/>
  <c r="K51" i="5"/>
  <c r="S51" i="5"/>
  <c r="L51" i="5"/>
  <c r="T51" i="5"/>
  <c r="M51" i="5"/>
  <c r="T35" i="5"/>
  <c r="S35" i="5"/>
  <c r="O27" i="5"/>
  <c r="Q27" i="5"/>
  <c r="O28" i="5"/>
  <c r="P28" i="5"/>
  <c r="Q28" i="5"/>
  <c r="O29" i="5"/>
  <c r="Q29" i="5"/>
  <c r="O30" i="5"/>
  <c r="P30" i="5"/>
  <c r="Q30" i="5"/>
  <c r="O31" i="5"/>
  <c r="Q31" i="5"/>
  <c r="O32" i="5"/>
  <c r="P32" i="5"/>
  <c r="Q32" i="5"/>
  <c r="O33" i="5"/>
  <c r="P33" i="5"/>
  <c r="Q33" i="5"/>
  <c r="O34" i="5"/>
  <c r="P34" i="5"/>
  <c r="Q34" i="5"/>
  <c r="N35" i="5"/>
  <c r="Y35" i="5" s="1"/>
  <c r="K27" i="5"/>
  <c r="L27" i="5"/>
  <c r="L28" i="5"/>
  <c r="M28" i="5"/>
  <c r="K29" i="5"/>
  <c r="L29" i="5"/>
  <c r="K30" i="5"/>
  <c r="L30" i="5"/>
  <c r="M30" i="5"/>
  <c r="K31" i="5"/>
  <c r="L31" i="5"/>
  <c r="K32" i="5"/>
  <c r="L32" i="5"/>
  <c r="M32" i="5"/>
  <c r="L33" i="5"/>
  <c r="M33" i="5"/>
  <c r="K34" i="5"/>
  <c r="L34" i="5"/>
  <c r="M34" i="5"/>
  <c r="O8" i="5"/>
  <c r="P8" i="5"/>
  <c r="Q8" i="5"/>
  <c r="O9" i="5"/>
  <c r="O113" i="5" s="1"/>
  <c r="Q9" i="5"/>
  <c r="Q113" i="5" s="1"/>
  <c r="O10" i="5"/>
  <c r="O114" i="5" s="1"/>
  <c r="P10" i="5"/>
  <c r="P114" i="5" s="1"/>
  <c r="Q10" i="5"/>
  <c r="Q114" i="5" s="1"/>
  <c r="O11" i="5"/>
  <c r="O115" i="5" s="1"/>
  <c r="P11" i="5"/>
  <c r="Q11" i="5"/>
  <c r="Q115" i="5" s="1"/>
  <c r="O12" i="5"/>
  <c r="O116" i="5" s="1"/>
  <c r="P12" i="5"/>
  <c r="P116" i="5" s="1"/>
  <c r="Q12" i="5"/>
  <c r="Q116" i="5" s="1"/>
  <c r="O13" i="5"/>
  <c r="P13" i="5"/>
  <c r="P117" i="5" s="1"/>
  <c r="Q13" i="5"/>
  <c r="Q117" i="5" s="1"/>
  <c r="O14" i="5"/>
  <c r="O118" i="5" s="1"/>
  <c r="Q14" i="5"/>
  <c r="Q118" i="5" s="1"/>
  <c r="O15" i="5"/>
  <c r="O119" i="5" s="1"/>
  <c r="P15" i="5"/>
  <c r="Q15" i="5"/>
  <c r="Q119" i="5" s="1"/>
  <c r="K8" i="5"/>
  <c r="S8" i="5"/>
  <c r="L8" i="5"/>
  <c r="L112" i="5" s="1"/>
  <c r="T8" i="5"/>
  <c r="M8" i="5"/>
  <c r="K9" i="5"/>
  <c r="L9" i="5"/>
  <c r="L113" i="5" s="1"/>
  <c r="T9" i="5"/>
  <c r="T113" i="5" s="1"/>
  <c r="M9" i="5"/>
  <c r="U9" i="5"/>
  <c r="K10" i="5"/>
  <c r="S10" i="5"/>
  <c r="L10" i="5"/>
  <c r="L114" i="5" s="1"/>
  <c r="T10" i="5"/>
  <c r="M10" i="5"/>
  <c r="U10" i="5"/>
  <c r="K11" i="5"/>
  <c r="K115" i="5" s="1"/>
  <c r="S11" i="5"/>
  <c r="S115" i="5" s="1"/>
  <c r="L11" i="5"/>
  <c r="L115" i="5" s="1"/>
  <c r="T11" i="5"/>
  <c r="M11" i="5"/>
  <c r="M115" i="5" s="1"/>
  <c r="U11" i="5"/>
  <c r="K12" i="5"/>
  <c r="L12" i="5"/>
  <c r="L116" i="5" s="1"/>
  <c r="T12" i="5"/>
  <c r="T116" i="5" s="1"/>
  <c r="M12" i="5"/>
  <c r="K13" i="5"/>
  <c r="K117" i="5" s="1"/>
  <c r="S13" i="5"/>
  <c r="L13" i="5"/>
  <c r="L117" i="5" s="1"/>
  <c r="T13" i="5"/>
  <c r="T117" i="5" s="1"/>
  <c r="M13" i="5"/>
  <c r="U13" i="5"/>
  <c r="K14" i="5"/>
  <c r="S14" i="5"/>
  <c r="L14" i="5"/>
  <c r="L118" i="5" s="1"/>
  <c r="T14" i="5"/>
  <c r="T118" i="5" s="1"/>
  <c r="M14" i="5"/>
  <c r="U14" i="5"/>
  <c r="K15" i="5"/>
  <c r="K119" i="5" s="1"/>
  <c r="S15" i="5"/>
  <c r="S119" i="5" s="1"/>
  <c r="L15" i="5"/>
  <c r="L119" i="5" s="1"/>
  <c r="T15" i="5"/>
  <c r="M15" i="5"/>
  <c r="M119" i="5" s="1"/>
  <c r="U15" i="5"/>
  <c r="W118" i="5"/>
  <c r="X118" i="5" s="1"/>
  <c r="W117" i="5"/>
  <c r="X117" i="5"/>
  <c r="W116" i="5"/>
  <c r="X116" i="5"/>
  <c r="W115" i="5"/>
  <c r="X115" i="5"/>
  <c r="W114" i="5"/>
  <c r="X114" i="5"/>
  <c r="M86" i="5"/>
  <c r="M52" i="5"/>
  <c r="D437" i="4"/>
  <c r="V437" i="4" s="1"/>
  <c r="Y437" i="4" s="1"/>
  <c r="C437" i="4"/>
  <c r="G289" i="4"/>
  <c r="K190" i="4"/>
  <c r="G189" i="4"/>
  <c r="R189" i="4"/>
  <c r="S189" i="4"/>
  <c r="G382" i="4"/>
  <c r="C421" i="4"/>
  <c r="G427" i="4"/>
  <c r="R86" i="4"/>
  <c r="S86" i="4"/>
  <c r="R372" i="4"/>
  <c r="S372" i="4"/>
  <c r="O374" i="4"/>
  <c r="R376" i="4"/>
  <c r="S376" i="4"/>
  <c r="R377" i="4"/>
  <c r="S377" i="4"/>
  <c r="R381" i="4"/>
  <c r="S381" i="4"/>
  <c r="R384" i="4"/>
  <c r="S384" i="4"/>
  <c r="R385" i="4"/>
  <c r="S385" i="4"/>
  <c r="R380" i="4"/>
  <c r="S380" i="4"/>
  <c r="R373" i="4"/>
  <c r="S373" i="4"/>
  <c r="R374" i="4"/>
  <c r="S374" i="4"/>
  <c r="R362" i="4"/>
  <c r="S362" i="4"/>
  <c r="R358" i="4"/>
  <c r="S358" i="4"/>
  <c r="R353" i="4"/>
  <c r="S353" i="4"/>
  <c r="R349" i="4"/>
  <c r="S349" i="4"/>
  <c r="R355" i="4"/>
  <c r="S355" i="4"/>
  <c r="R354" i="4"/>
  <c r="S354" i="4"/>
  <c r="R347" i="4"/>
  <c r="S347" i="4"/>
  <c r="R363" i="4"/>
  <c r="S363" i="4"/>
  <c r="R356" i="4"/>
  <c r="S356" i="4"/>
  <c r="R360" i="4"/>
  <c r="S360" i="4"/>
  <c r="R348" i="4"/>
  <c r="S348" i="4"/>
  <c r="R352" i="4"/>
  <c r="S352" i="4"/>
  <c r="R357" i="4"/>
  <c r="S357" i="4"/>
  <c r="R361" i="4"/>
  <c r="S361" i="4"/>
  <c r="R350" i="4"/>
  <c r="S350" i="4"/>
  <c r="R351" i="4"/>
  <c r="S351" i="4"/>
  <c r="R359" i="4"/>
  <c r="S359" i="4"/>
  <c r="R327" i="4"/>
  <c r="S327" i="4"/>
  <c r="R323" i="4"/>
  <c r="S323" i="4"/>
  <c r="R337" i="4"/>
  <c r="S337" i="4"/>
  <c r="R332" i="4"/>
  <c r="S332" i="4"/>
  <c r="R333" i="4"/>
  <c r="S333" i="4"/>
  <c r="R329" i="4"/>
  <c r="S329" i="4"/>
  <c r="R338" i="4"/>
  <c r="S338" i="4"/>
  <c r="R335" i="4"/>
  <c r="S335" i="4"/>
  <c r="R322" i="4"/>
  <c r="S322" i="4"/>
  <c r="R325" i="4"/>
  <c r="S325" i="4"/>
  <c r="R331" i="4"/>
  <c r="S331" i="4"/>
  <c r="R336" i="4"/>
  <c r="S336" i="4"/>
  <c r="R324" i="4"/>
  <c r="S324" i="4"/>
  <c r="R328" i="4"/>
  <c r="S328" i="4"/>
  <c r="R326" i="4"/>
  <c r="S326" i="4"/>
  <c r="R330" i="4"/>
  <c r="S330" i="4"/>
  <c r="R334" i="4"/>
  <c r="S334" i="4"/>
  <c r="R313" i="4"/>
  <c r="S313" i="4"/>
  <c r="R308" i="4"/>
  <c r="S308" i="4"/>
  <c r="R304" i="4"/>
  <c r="S304" i="4"/>
  <c r="R300" i="4"/>
  <c r="S300" i="4"/>
  <c r="R309" i="4"/>
  <c r="S309" i="4"/>
  <c r="R311" i="4"/>
  <c r="S311" i="4"/>
  <c r="R298" i="4"/>
  <c r="S298" i="4"/>
  <c r="R302" i="4"/>
  <c r="S302" i="4"/>
  <c r="R306" i="4"/>
  <c r="S306" i="4"/>
  <c r="R299" i="4"/>
  <c r="S299" i="4"/>
  <c r="R303" i="4"/>
  <c r="S303" i="4"/>
  <c r="R307" i="4"/>
  <c r="S307" i="4"/>
  <c r="R312" i="4"/>
  <c r="S312" i="4"/>
  <c r="R301" i="4"/>
  <c r="S301" i="4"/>
  <c r="R305" i="4"/>
  <c r="S305" i="4"/>
  <c r="R310" i="4"/>
  <c r="S310" i="4"/>
  <c r="R314" i="4"/>
  <c r="S314" i="4"/>
  <c r="R281" i="4"/>
  <c r="S281" i="4"/>
  <c r="K275" i="4"/>
  <c r="R275" i="4"/>
  <c r="S275" i="4"/>
  <c r="R276" i="4"/>
  <c r="S276" i="4"/>
  <c r="R285" i="4"/>
  <c r="S285" i="4"/>
  <c r="R288" i="4"/>
  <c r="S288" i="4"/>
  <c r="R279" i="4"/>
  <c r="S279" i="4"/>
  <c r="R283" i="4"/>
  <c r="S283" i="4"/>
  <c r="R287" i="4"/>
  <c r="S287" i="4"/>
  <c r="R273" i="4"/>
  <c r="S273" i="4"/>
  <c r="R280" i="4"/>
  <c r="S280" i="4"/>
  <c r="R284" i="4"/>
  <c r="S284" i="4"/>
  <c r="R277" i="4"/>
  <c r="S277" i="4"/>
  <c r="R262" i="4"/>
  <c r="S262" i="4"/>
  <c r="R258" i="4"/>
  <c r="S258" i="4"/>
  <c r="R254" i="4"/>
  <c r="S254" i="4"/>
  <c r="R263" i="4"/>
  <c r="S263" i="4"/>
  <c r="R259" i="4"/>
  <c r="S259" i="4"/>
  <c r="R255" i="4"/>
  <c r="S255" i="4"/>
  <c r="R251" i="4"/>
  <c r="S251" i="4"/>
  <c r="R260" i="4"/>
  <c r="S260" i="4"/>
  <c r="R250" i="4"/>
  <c r="S250" i="4"/>
  <c r="R257" i="4"/>
  <c r="S257" i="4"/>
  <c r="R261" i="4"/>
  <c r="S261" i="4"/>
  <c r="R265" i="4"/>
  <c r="S265" i="4"/>
  <c r="R264" i="4"/>
  <c r="S264" i="4"/>
  <c r="R252" i="4"/>
  <c r="S252" i="4"/>
  <c r="R256" i="4"/>
  <c r="S256" i="4"/>
  <c r="R224" i="4"/>
  <c r="S224" i="4"/>
  <c r="R233" i="4"/>
  <c r="S233" i="4"/>
  <c r="R231" i="4"/>
  <c r="S231" i="4"/>
  <c r="R238" i="4"/>
  <c r="S238" i="4"/>
  <c r="R239" i="4"/>
  <c r="S239" i="4"/>
  <c r="R235" i="4"/>
  <c r="S235" i="4"/>
  <c r="R240" i="4"/>
  <c r="S240" i="4"/>
  <c r="R226" i="4"/>
  <c r="S226" i="4"/>
  <c r="R230" i="4"/>
  <c r="S230" i="4"/>
  <c r="R227" i="4"/>
  <c r="S227" i="4"/>
  <c r="R237" i="4"/>
  <c r="S237" i="4"/>
  <c r="R225" i="4"/>
  <c r="S225" i="4"/>
  <c r="R229" i="4"/>
  <c r="S229" i="4"/>
  <c r="R234" i="4"/>
  <c r="S234" i="4"/>
  <c r="R228" i="4"/>
  <c r="S228" i="4"/>
  <c r="R232" i="4"/>
  <c r="S232" i="4"/>
  <c r="R236" i="4"/>
  <c r="S236" i="4"/>
  <c r="R205" i="4"/>
  <c r="S205" i="4"/>
  <c r="R201" i="4"/>
  <c r="S201" i="4"/>
  <c r="R210" i="4"/>
  <c r="S210" i="4"/>
  <c r="S206" i="4"/>
  <c r="R213" i="4"/>
  <c r="S213" i="4"/>
  <c r="R208" i="4"/>
  <c r="S208" i="4"/>
  <c r="R204" i="4"/>
  <c r="S204" i="4"/>
  <c r="R207" i="4"/>
  <c r="S207" i="4"/>
  <c r="R209" i="4"/>
  <c r="S209" i="4"/>
  <c r="R214" i="4"/>
  <c r="S214" i="4"/>
  <c r="R202" i="4"/>
  <c r="S202" i="4"/>
  <c r="R212" i="4"/>
  <c r="S212" i="4"/>
  <c r="R216" i="4"/>
  <c r="S216" i="4"/>
  <c r="R215" i="4"/>
  <c r="S215" i="4"/>
  <c r="R203" i="4"/>
  <c r="S203" i="4"/>
  <c r="R185" i="4"/>
  <c r="S185" i="4"/>
  <c r="R177" i="4"/>
  <c r="S177" i="4"/>
  <c r="R188" i="4"/>
  <c r="S188" i="4"/>
  <c r="R186" i="4"/>
  <c r="S186" i="4"/>
  <c r="R183" i="4"/>
  <c r="S183" i="4"/>
  <c r="R181" i="4"/>
  <c r="S181" i="4"/>
  <c r="R179" i="4"/>
  <c r="S179" i="4"/>
  <c r="R182" i="4"/>
  <c r="S182" i="4"/>
  <c r="R184" i="4"/>
  <c r="S184" i="4"/>
  <c r="R178" i="4"/>
  <c r="S178" i="4"/>
  <c r="R180" i="4"/>
  <c r="S180" i="4"/>
  <c r="R187" i="4"/>
  <c r="S187" i="4"/>
  <c r="R192" i="4"/>
  <c r="S192" i="4"/>
  <c r="G176" i="4"/>
  <c r="K176" i="4"/>
  <c r="O176" i="4"/>
  <c r="R157" i="4"/>
  <c r="S157" i="4"/>
  <c r="R153" i="4"/>
  <c r="S153" i="4"/>
  <c r="R167" i="4"/>
  <c r="S167" i="4"/>
  <c r="R162" i="4"/>
  <c r="S162" i="4"/>
  <c r="R164" i="4"/>
  <c r="S164" i="4"/>
  <c r="R163" i="4"/>
  <c r="S163" i="4"/>
  <c r="R159" i="4"/>
  <c r="S159" i="4"/>
  <c r="R168" i="4"/>
  <c r="S168" i="4"/>
  <c r="R165" i="4"/>
  <c r="S165" i="4"/>
  <c r="R152" i="4"/>
  <c r="S152" i="4"/>
  <c r="R155" i="4"/>
  <c r="S155" i="4"/>
  <c r="R161" i="4"/>
  <c r="S161" i="4"/>
  <c r="R166" i="4"/>
  <c r="S166" i="4"/>
  <c r="R154" i="4"/>
  <c r="S154" i="4"/>
  <c r="R158" i="4"/>
  <c r="S158" i="4"/>
  <c r="R156" i="4"/>
  <c r="S156" i="4"/>
  <c r="R160" i="4"/>
  <c r="S160" i="4"/>
  <c r="R143" i="4"/>
  <c r="S143" i="4"/>
  <c r="R139" i="4"/>
  <c r="S139" i="4"/>
  <c r="R135" i="4"/>
  <c r="S135" i="4"/>
  <c r="R131" i="4"/>
  <c r="S131" i="4"/>
  <c r="R144" i="4"/>
  <c r="S144" i="4"/>
  <c r="R136" i="4"/>
  <c r="S136" i="4"/>
  <c r="R130" i="4"/>
  <c r="S130" i="4"/>
  <c r="R128" i="4"/>
  <c r="S128" i="4"/>
  <c r="R133" i="4"/>
  <c r="S133" i="4"/>
  <c r="R137" i="4"/>
  <c r="S137" i="4"/>
  <c r="R141" i="4"/>
  <c r="S141" i="4"/>
  <c r="R129" i="4"/>
  <c r="S129" i="4"/>
  <c r="R134" i="4"/>
  <c r="S134" i="4"/>
  <c r="R138" i="4"/>
  <c r="S138" i="4"/>
  <c r="R142" i="4"/>
  <c r="S142" i="4"/>
  <c r="R132" i="4"/>
  <c r="S132" i="4"/>
  <c r="R140" i="4"/>
  <c r="S140" i="4"/>
  <c r="R109" i="4"/>
  <c r="S109" i="4"/>
  <c r="R107" i="4"/>
  <c r="S107" i="4"/>
  <c r="R114" i="4"/>
  <c r="S114" i="4"/>
  <c r="R115" i="4"/>
  <c r="S115" i="4"/>
  <c r="R111" i="4"/>
  <c r="S111" i="4"/>
  <c r="R116" i="4"/>
  <c r="S116" i="4"/>
  <c r="R120" i="4"/>
  <c r="S120" i="4"/>
  <c r="R117" i="4"/>
  <c r="S117" i="4"/>
  <c r="R106" i="4"/>
  <c r="S106" i="4"/>
  <c r="R113" i="4"/>
  <c r="S113" i="4"/>
  <c r="R118" i="4"/>
  <c r="S118" i="4"/>
  <c r="R105" i="4"/>
  <c r="S105" i="4"/>
  <c r="R110" i="4"/>
  <c r="S110" i="4"/>
  <c r="R104" i="4"/>
  <c r="S104" i="4"/>
  <c r="R108" i="4"/>
  <c r="S108" i="4"/>
  <c r="R119" i="4"/>
  <c r="S119" i="4"/>
  <c r="R112" i="4"/>
  <c r="S112" i="4"/>
  <c r="R89" i="4"/>
  <c r="S89" i="4"/>
  <c r="R82" i="4"/>
  <c r="S82" i="4"/>
  <c r="R87" i="4"/>
  <c r="S87" i="4"/>
  <c r="R80" i="4"/>
  <c r="S80" i="4"/>
  <c r="R96" i="4"/>
  <c r="S96" i="4"/>
  <c r="R93" i="4"/>
  <c r="S93" i="4"/>
  <c r="R81" i="4"/>
  <c r="S81" i="4"/>
  <c r="R85" i="4"/>
  <c r="S85" i="4"/>
  <c r="R90" i="4"/>
  <c r="S90" i="4"/>
  <c r="R94" i="4"/>
  <c r="S94" i="4"/>
  <c r="R91" i="4"/>
  <c r="S91" i="4"/>
  <c r="R84" i="4"/>
  <c r="S84" i="4"/>
  <c r="R88" i="4"/>
  <c r="S88" i="4"/>
  <c r="R95" i="4"/>
  <c r="S95" i="4"/>
  <c r="R83" i="4"/>
  <c r="S83" i="4"/>
  <c r="R92" i="4"/>
  <c r="S92" i="4"/>
  <c r="R69" i="4"/>
  <c r="S69" i="4"/>
  <c r="R65" i="4"/>
  <c r="S65" i="4"/>
  <c r="R61" i="4"/>
  <c r="S61" i="4"/>
  <c r="R60" i="4"/>
  <c r="S60" i="4"/>
  <c r="R67" i="4"/>
  <c r="S67" i="4"/>
  <c r="R58" i="4"/>
  <c r="S58" i="4"/>
  <c r="R57" i="4"/>
  <c r="S57" i="4"/>
  <c r="R56" i="4"/>
  <c r="S56" i="4"/>
  <c r="R62" i="4"/>
  <c r="S62" i="4"/>
  <c r="R64" i="4"/>
  <c r="S64" i="4"/>
  <c r="R68" i="4"/>
  <c r="S68" i="4"/>
  <c r="R72" i="4"/>
  <c r="S72" i="4"/>
  <c r="R71" i="4"/>
  <c r="S71" i="4"/>
  <c r="R59" i="4"/>
  <c r="S59" i="4"/>
  <c r="R66" i="4"/>
  <c r="S66" i="4"/>
  <c r="R63" i="4"/>
  <c r="S63" i="4"/>
  <c r="R70" i="4"/>
  <c r="S70" i="4"/>
  <c r="R45" i="4"/>
  <c r="S45" i="4"/>
  <c r="R33" i="4"/>
  <c r="S33" i="4"/>
  <c r="R38" i="4"/>
  <c r="S38" i="4"/>
  <c r="R43" i="4"/>
  <c r="S43" i="4"/>
  <c r="R42" i="4"/>
  <c r="S42" i="4"/>
  <c r="R34" i="4"/>
  <c r="S34" i="4"/>
  <c r="R32" i="4"/>
  <c r="S32" i="4"/>
  <c r="R40" i="4"/>
  <c r="S40" i="4"/>
  <c r="R48" i="4"/>
  <c r="S48" i="4"/>
  <c r="R37" i="4"/>
  <c r="S37" i="4"/>
  <c r="R41" i="4"/>
  <c r="S41" i="4"/>
  <c r="R46" i="4"/>
  <c r="S46" i="4"/>
  <c r="R47" i="4"/>
  <c r="S47" i="4"/>
  <c r="R39" i="4"/>
  <c r="S39" i="4"/>
  <c r="R36" i="4"/>
  <c r="S36" i="4"/>
  <c r="R35" i="4"/>
  <c r="S35" i="4"/>
  <c r="R44" i="4"/>
  <c r="S44" i="4"/>
  <c r="R23" i="4"/>
  <c r="S23" i="4"/>
  <c r="R22" i="4"/>
  <c r="S22" i="4"/>
  <c r="R21" i="4"/>
  <c r="S21" i="4"/>
  <c r="R19" i="4"/>
  <c r="S19" i="4"/>
  <c r="R16" i="4"/>
  <c r="S16" i="4"/>
  <c r="AE116" i="5"/>
  <c r="AI116" i="5" s="1"/>
  <c r="AE117" i="5"/>
  <c r="AI117" i="5" s="1"/>
  <c r="U12" i="5"/>
  <c r="U8" i="5"/>
  <c r="L52" i="5"/>
  <c r="U49" i="5"/>
  <c r="T46" i="5"/>
  <c r="K52" i="5"/>
  <c r="K86" i="5"/>
  <c r="P86" i="5"/>
  <c r="P103" i="5"/>
  <c r="S9" i="5"/>
  <c r="M103" i="5"/>
  <c r="S12" i="5"/>
  <c r="K35" i="5"/>
  <c r="U51" i="5"/>
  <c r="S49" i="5"/>
  <c r="L103" i="5"/>
  <c r="T95" i="5"/>
  <c r="P52" i="5"/>
  <c r="M66" i="5"/>
  <c r="U66" i="5"/>
  <c r="P68" i="5"/>
  <c r="T68" i="5" s="1"/>
  <c r="P64" i="5"/>
  <c r="Q86" i="5"/>
  <c r="O100" i="5"/>
  <c r="S100" i="5"/>
  <c r="G27" i="5"/>
  <c r="I27" i="5"/>
  <c r="H27" i="5"/>
  <c r="N86" i="5"/>
  <c r="Y86" i="5" s="1"/>
  <c r="O69" i="5"/>
  <c r="K61" i="5"/>
  <c r="M61" i="5"/>
  <c r="K62" i="5"/>
  <c r="M62" i="5"/>
  <c r="K63" i="5"/>
  <c r="M63" i="5"/>
  <c r="K65" i="5"/>
  <c r="M65" i="5"/>
  <c r="K67" i="5"/>
  <c r="M67" i="5"/>
  <c r="I30" i="5"/>
  <c r="G30" i="5"/>
  <c r="U86" i="5"/>
  <c r="G29" i="5"/>
  <c r="I29" i="5"/>
  <c r="U26" i="5"/>
  <c r="U35" i="5"/>
  <c r="V35" i="5"/>
  <c r="J86" i="5"/>
  <c r="X86" i="5" s="1"/>
  <c r="V52" i="5"/>
  <c r="V103" i="5"/>
  <c r="R176" i="4"/>
  <c r="S176" i="4"/>
  <c r="J103" i="5"/>
  <c r="X103" i="5" s="1"/>
  <c r="AC361" i="4" s="1"/>
  <c r="J16" i="5"/>
  <c r="X16" i="5" s="1"/>
  <c r="S67" i="5"/>
  <c r="R120" i="5"/>
  <c r="U65" i="5"/>
  <c r="U63" i="5"/>
  <c r="T64" i="5"/>
  <c r="H44" i="5"/>
  <c r="I44" i="5"/>
  <c r="G44" i="5"/>
  <c r="W112" i="5"/>
  <c r="X112" i="5"/>
  <c r="J52" i="5"/>
  <c r="X52" i="5" s="1"/>
  <c r="I26" i="5"/>
  <c r="I111" i="5" s="1"/>
  <c r="I35" i="5"/>
  <c r="H26" i="5"/>
  <c r="H111" i="5" s="1"/>
  <c r="H35" i="5"/>
  <c r="J35" i="5"/>
  <c r="X35" i="5" s="1"/>
  <c r="G26" i="5"/>
  <c r="G111" i="5" s="1"/>
  <c r="G35" i="5"/>
  <c r="S65" i="5"/>
  <c r="S63" i="5"/>
  <c r="S61" i="5"/>
  <c r="Q103" i="5"/>
  <c r="L16" i="5"/>
  <c r="M16" i="5"/>
  <c r="K16" i="5"/>
  <c r="N16" i="5"/>
  <c r="Y16" i="5" s="1"/>
  <c r="Q26" i="5"/>
  <c r="Q35" i="5"/>
  <c r="P26" i="5"/>
  <c r="P35" i="5"/>
  <c r="O26" i="5"/>
  <c r="O35" i="5"/>
  <c r="R35" i="5"/>
  <c r="Z35" i="5" s="1"/>
  <c r="U67" i="5"/>
  <c r="U62" i="5"/>
  <c r="O103" i="5"/>
  <c r="P69" i="5"/>
  <c r="K69" i="5"/>
  <c r="W113" i="5"/>
  <c r="X113" i="5"/>
  <c r="S62" i="5"/>
  <c r="Q7" i="5"/>
  <c r="Q16" i="5"/>
  <c r="O7" i="5"/>
  <c r="O16" i="5"/>
  <c r="P7" i="5"/>
  <c r="P16" i="5"/>
  <c r="R16" i="5"/>
  <c r="Z16" i="5" s="1"/>
  <c r="N120" i="5"/>
  <c r="U61" i="5"/>
  <c r="M69" i="5"/>
  <c r="L86" i="5"/>
  <c r="K103" i="5"/>
  <c r="AD119" i="5"/>
  <c r="AH119" i="5" s="1"/>
  <c r="L120" i="5"/>
  <c r="S69" i="5"/>
  <c r="G103" i="5"/>
  <c r="G52" i="5"/>
  <c r="S44" i="5"/>
  <c r="S52" i="5"/>
  <c r="S7" i="5"/>
  <c r="S16" i="5"/>
  <c r="G16" i="5"/>
  <c r="I52" i="5"/>
  <c r="U44" i="5"/>
  <c r="T7" i="5"/>
  <c r="H16" i="5"/>
  <c r="H103" i="5"/>
  <c r="T44" i="5"/>
  <c r="H52" i="5"/>
  <c r="U7" i="5"/>
  <c r="U16" i="5"/>
  <c r="I16" i="5"/>
  <c r="I103" i="5"/>
  <c r="T103" i="5"/>
  <c r="T52" i="5"/>
  <c r="U52" i="5"/>
  <c r="K218" i="7" l="1"/>
  <c r="R218" i="7" s="1"/>
  <c r="S218" i="7" s="1"/>
  <c r="R210" i="7"/>
  <c r="S210" i="7" s="1"/>
  <c r="R234" i="7"/>
  <c r="S234" i="7" s="1"/>
  <c r="G242" i="7"/>
  <c r="R242" i="7" s="1"/>
  <c r="S242" i="7" s="1"/>
  <c r="R259" i="7"/>
  <c r="S259" i="7" s="1"/>
  <c r="G267" i="7"/>
  <c r="R267" i="7" s="1"/>
  <c r="S267" i="7" s="1"/>
  <c r="G291" i="4"/>
  <c r="O291" i="4"/>
  <c r="K291" i="4"/>
  <c r="J291" i="4"/>
  <c r="I291" i="4"/>
  <c r="H291" i="4"/>
  <c r="N291" i="4"/>
  <c r="M291" i="4"/>
  <c r="L291" i="4"/>
  <c r="G365" i="7"/>
  <c r="K365" i="4"/>
  <c r="K357" i="7"/>
  <c r="K365" i="7" s="1"/>
  <c r="I389" i="4"/>
  <c r="M389" i="4"/>
  <c r="X381" i="4"/>
  <c r="F389" i="4"/>
  <c r="X283" i="4"/>
  <c r="F291" i="4"/>
  <c r="W283" i="4"/>
  <c r="E291" i="4"/>
  <c r="AC410" i="4"/>
  <c r="AF361" i="4"/>
  <c r="Z437" i="4"/>
  <c r="Y436" i="4"/>
  <c r="Z436" i="4" s="1"/>
  <c r="Y435" i="4"/>
  <c r="Z435" i="4" s="1"/>
  <c r="Y434" i="4"/>
  <c r="Z434" i="4" s="1"/>
  <c r="Y430" i="4"/>
  <c r="Z430" i="4" s="1"/>
  <c r="Y429" i="4"/>
  <c r="Z429" i="4" s="1"/>
  <c r="Y426" i="4"/>
  <c r="Z426" i="4" s="1"/>
  <c r="Y424" i="4"/>
  <c r="Z424" i="4" s="1"/>
  <c r="Y423" i="4"/>
  <c r="Z423" i="4" s="1"/>
  <c r="Y422" i="4"/>
  <c r="Z422" i="4" s="1"/>
  <c r="X432" i="4"/>
  <c r="W432" i="4"/>
  <c r="X431" i="4"/>
  <c r="W431" i="4"/>
  <c r="X428" i="4"/>
  <c r="V428" i="4"/>
  <c r="X427" i="4"/>
  <c r="W427" i="4"/>
  <c r="X425" i="4"/>
  <c r="Y425" i="4" s="1"/>
  <c r="Z425" i="4" s="1"/>
  <c r="R253" i="4"/>
  <c r="S253" i="4" s="1"/>
  <c r="Y433" i="4"/>
  <c r="Z433" i="4" s="1"/>
  <c r="Y432" i="4"/>
  <c r="Z432" i="4" s="1"/>
  <c r="Y431" i="4"/>
  <c r="Z431" i="4" s="1"/>
  <c r="Y428" i="4"/>
  <c r="Z428" i="4" s="1"/>
  <c r="Y427" i="4"/>
  <c r="Z427" i="4" s="1"/>
  <c r="C194" i="4"/>
  <c r="G191" i="4"/>
  <c r="G190" i="4"/>
  <c r="C291" i="4"/>
  <c r="X274" i="4"/>
  <c r="W274" i="4"/>
  <c r="V274" i="4"/>
  <c r="K274" i="4"/>
  <c r="X387" i="4"/>
  <c r="W387" i="4"/>
  <c r="V387" i="4"/>
  <c r="X386" i="4"/>
  <c r="W386" i="4"/>
  <c r="V386" i="4"/>
  <c r="X385" i="4"/>
  <c r="W385" i="4"/>
  <c r="V385" i="4"/>
  <c r="C439" i="4"/>
  <c r="Y273" i="4"/>
  <c r="Z273" i="4" s="1"/>
  <c r="Y289" i="4"/>
  <c r="Z289" i="4" s="1"/>
  <c r="Y288" i="4"/>
  <c r="Z288" i="4" s="1"/>
  <c r="Y287" i="4"/>
  <c r="Z287" i="4" s="1"/>
  <c r="Y286" i="4"/>
  <c r="Z286" i="4" s="1"/>
  <c r="Y285" i="4"/>
  <c r="Z285" i="4" s="1"/>
  <c r="Y284" i="4"/>
  <c r="Z284" i="4" s="1"/>
  <c r="Y283" i="4"/>
  <c r="Z283" i="4" s="1"/>
  <c r="Y282" i="4"/>
  <c r="Z282" i="4" s="1"/>
  <c r="Y281" i="4"/>
  <c r="Z281" i="4" s="1"/>
  <c r="Y280" i="4"/>
  <c r="Z280" i="4" s="1"/>
  <c r="Y279" i="4"/>
  <c r="Z279" i="4" s="1"/>
  <c r="Y278" i="4"/>
  <c r="Z278" i="4" s="1"/>
  <c r="Y277" i="4"/>
  <c r="Z277" i="4" s="1"/>
  <c r="Y276" i="4"/>
  <c r="Z276" i="4" s="1"/>
  <c r="Y275" i="4"/>
  <c r="Z275" i="4" s="1"/>
  <c r="Y274" i="4"/>
  <c r="Z274" i="4" s="1"/>
  <c r="G371" i="4"/>
  <c r="X371" i="4"/>
  <c r="E389" i="4"/>
  <c r="W371" i="4"/>
  <c r="D389" i="4"/>
  <c r="V371" i="4"/>
  <c r="Y371" i="4" s="1"/>
  <c r="Z371" i="4" s="1"/>
  <c r="Y387" i="4"/>
  <c r="Z387" i="4" s="1"/>
  <c r="Y386" i="4"/>
  <c r="Z386" i="4" s="1"/>
  <c r="Y385" i="4"/>
  <c r="Z385" i="4" s="1"/>
  <c r="Y384" i="4"/>
  <c r="Z384" i="4" s="1"/>
  <c r="Y383" i="4"/>
  <c r="Z383" i="4" s="1"/>
  <c r="Y382" i="4"/>
  <c r="Z382" i="4" s="1"/>
  <c r="Y381" i="4"/>
  <c r="Z381" i="4" s="1"/>
  <c r="Y380" i="4"/>
  <c r="Z380" i="4" s="1"/>
  <c r="Y379" i="4"/>
  <c r="Z379" i="4" s="1"/>
  <c r="Y378" i="4"/>
  <c r="Z378" i="4" s="1"/>
  <c r="Y377" i="4"/>
  <c r="Z377" i="4" s="1"/>
  <c r="Y376" i="4"/>
  <c r="Z376" i="4" s="1"/>
  <c r="Y375" i="4"/>
  <c r="Z375" i="4" s="1"/>
  <c r="Y374" i="4"/>
  <c r="Z374" i="4" s="1"/>
  <c r="Y373" i="4"/>
  <c r="Z373" i="4" s="1"/>
  <c r="Y372" i="4"/>
  <c r="Z372" i="4" s="1"/>
  <c r="Z135" i="5"/>
  <c r="Y135" i="5"/>
  <c r="X135" i="5"/>
  <c r="W135" i="5"/>
  <c r="E98" i="4"/>
  <c r="E421" i="4"/>
  <c r="R200" i="4"/>
  <c r="S200" i="4" s="1"/>
  <c r="G218" i="4"/>
  <c r="G242" i="4"/>
  <c r="O365" i="4"/>
  <c r="H389" i="4"/>
  <c r="G267" i="4"/>
  <c r="O267" i="4"/>
  <c r="D291" i="4"/>
  <c r="G365" i="4"/>
  <c r="N389" i="4"/>
  <c r="K340" i="4"/>
  <c r="G340" i="4"/>
  <c r="J389" i="4"/>
  <c r="K316" i="4"/>
  <c r="R316" i="4" s="1"/>
  <c r="S316" i="4" s="1"/>
  <c r="K389" i="4"/>
  <c r="G389" i="4"/>
  <c r="K267" i="4"/>
  <c r="O242" i="4"/>
  <c r="K242" i="4"/>
  <c r="O218" i="4"/>
  <c r="R211" i="4"/>
  <c r="S211" i="4" s="1"/>
  <c r="K218" i="4"/>
  <c r="R218" i="4" s="1"/>
  <c r="R365" i="4"/>
  <c r="S365" i="4" s="1"/>
  <c r="R340" i="4"/>
  <c r="S340" i="4" s="1"/>
  <c r="R267" i="4"/>
  <c r="S267" i="4" s="1"/>
  <c r="R242" i="4"/>
  <c r="S242" i="4" s="1"/>
  <c r="G50" i="4"/>
  <c r="K50" i="4"/>
  <c r="O50" i="4"/>
  <c r="G74" i="4"/>
  <c r="K74" i="4"/>
  <c r="O74" i="4"/>
  <c r="G98" i="4"/>
  <c r="K98" i="4"/>
  <c r="O98" i="4"/>
  <c r="F421" i="4"/>
  <c r="F98" i="4"/>
  <c r="D439" i="4"/>
  <c r="D98" i="4"/>
  <c r="H421" i="4"/>
  <c r="H439" i="4" s="1"/>
  <c r="H98" i="4"/>
  <c r="J421" i="4"/>
  <c r="J439" i="4" s="1"/>
  <c r="J98" i="4"/>
  <c r="I421" i="4"/>
  <c r="I439" i="4" s="1"/>
  <c r="I98" i="4"/>
  <c r="L421" i="4"/>
  <c r="L439" i="4" s="1"/>
  <c r="L98" i="4"/>
  <c r="M421" i="4"/>
  <c r="M439" i="4" s="1"/>
  <c r="M98" i="4"/>
  <c r="N421" i="4"/>
  <c r="N439" i="4" s="1"/>
  <c r="N98" i="4"/>
  <c r="G122" i="4"/>
  <c r="K122" i="4"/>
  <c r="O122" i="4"/>
  <c r="G146" i="4"/>
  <c r="K146" i="4"/>
  <c r="O146" i="4"/>
  <c r="G170" i="4"/>
  <c r="K170" i="4"/>
  <c r="O170" i="4"/>
  <c r="O194" i="4"/>
  <c r="S218" i="4"/>
  <c r="O111" i="5"/>
  <c r="P111" i="5"/>
  <c r="Q111" i="5"/>
  <c r="Q112" i="5"/>
  <c r="O112" i="5"/>
  <c r="T111" i="5"/>
  <c r="AE111" i="5" s="1"/>
  <c r="AI111" i="5" s="1"/>
  <c r="S111" i="5"/>
  <c r="AD111" i="5" s="1"/>
  <c r="AH111" i="5" s="1"/>
  <c r="M111" i="5"/>
  <c r="U60" i="5"/>
  <c r="U111" i="5" s="1"/>
  <c r="AF111" i="5" s="1"/>
  <c r="AJ111" i="5" s="1"/>
  <c r="P119" i="5"/>
  <c r="T119" i="5"/>
  <c r="U119" i="5"/>
  <c r="G119" i="5"/>
  <c r="M118" i="5"/>
  <c r="K118" i="5"/>
  <c r="U118" i="5"/>
  <c r="AF118" i="5" s="1"/>
  <c r="AJ118" i="5" s="1"/>
  <c r="S118" i="5"/>
  <c r="G118" i="5"/>
  <c r="P118" i="5"/>
  <c r="O117" i="5"/>
  <c r="M117" i="5"/>
  <c r="U117" i="5"/>
  <c r="AF117" i="5" s="1"/>
  <c r="AJ117" i="5" s="1"/>
  <c r="S117" i="5"/>
  <c r="AD117" i="5" s="1"/>
  <c r="AH117" i="5" s="1"/>
  <c r="G117" i="5"/>
  <c r="M116" i="5"/>
  <c r="K116" i="5"/>
  <c r="S116" i="5"/>
  <c r="AD116" i="5" s="1"/>
  <c r="AH116" i="5" s="1"/>
  <c r="U116" i="5"/>
  <c r="G116" i="5"/>
  <c r="P115" i="5"/>
  <c r="U64" i="5"/>
  <c r="U69" i="5" s="1"/>
  <c r="T115" i="5"/>
  <c r="AE115" i="5" s="1"/>
  <c r="AI115" i="5" s="1"/>
  <c r="I115" i="5"/>
  <c r="G115" i="5"/>
  <c r="M114" i="5"/>
  <c r="K114" i="5"/>
  <c r="U114" i="5"/>
  <c r="S114" i="5"/>
  <c r="AD114" i="5" s="1"/>
  <c r="AH114" i="5" s="1"/>
  <c r="T114" i="5"/>
  <c r="AE114" i="5" s="1"/>
  <c r="AI114" i="5" s="1"/>
  <c r="I114" i="5"/>
  <c r="G114" i="5"/>
  <c r="M113" i="5"/>
  <c r="K113" i="5"/>
  <c r="S113" i="5"/>
  <c r="U113" i="5"/>
  <c r="AF113" i="5" s="1"/>
  <c r="AJ113" i="5" s="1"/>
  <c r="P113" i="5"/>
  <c r="G113" i="5"/>
  <c r="M112" i="5"/>
  <c r="K112" i="5"/>
  <c r="K120" i="5" s="1"/>
  <c r="P112" i="5"/>
  <c r="U112" i="5"/>
  <c r="T112" i="5"/>
  <c r="AE112" i="5" s="1"/>
  <c r="AI112" i="5" s="1"/>
  <c r="S112" i="5"/>
  <c r="AD112" i="5" s="1"/>
  <c r="AH112" i="5" s="1"/>
  <c r="H112" i="5"/>
  <c r="H120" i="5" s="1"/>
  <c r="I112" i="5"/>
  <c r="I120" i="5" s="1"/>
  <c r="G112" i="5"/>
  <c r="G120" i="5" s="1"/>
  <c r="G194" i="4"/>
  <c r="K194" i="4"/>
  <c r="G25" i="4"/>
  <c r="K25" i="4"/>
  <c r="O25" i="4"/>
  <c r="T69" i="5"/>
  <c r="M120" i="5"/>
  <c r="AD118" i="5"/>
  <c r="AH118" i="5" s="1"/>
  <c r="AF116" i="5"/>
  <c r="AJ116" i="5" s="1"/>
  <c r="AF114" i="5"/>
  <c r="AJ114" i="5" s="1"/>
  <c r="AE118" i="5"/>
  <c r="AI118" i="5" s="1"/>
  <c r="L35" i="5"/>
  <c r="M35" i="5"/>
  <c r="O52" i="5"/>
  <c r="Q52" i="5"/>
  <c r="Q69" i="5"/>
  <c r="AF119" i="5"/>
  <c r="AJ119" i="5" s="1"/>
  <c r="V16" i="5"/>
  <c r="W119" i="5"/>
  <c r="X119" i="5" s="1"/>
  <c r="J120" i="5"/>
  <c r="W120" i="5" s="1"/>
  <c r="X120" i="5" s="1"/>
  <c r="Q120" i="5"/>
  <c r="O120" i="5"/>
  <c r="P120" i="5"/>
  <c r="AE119" i="5"/>
  <c r="AI119" i="5" s="1"/>
  <c r="AD115" i="5"/>
  <c r="AH115" i="5" s="1"/>
  <c r="AE113" i="5"/>
  <c r="AI113" i="5" s="1"/>
  <c r="T16" i="5"/>
  <c r="U103" i="5"/>
  <c r="S103" i="5"/>
  <c r="G421" i="4"/>
  <c r="K421" i="4"/>
  <c r="O421" i="4"/>
  <c r="R371" i="4"/>
  <c r="S371" i="4" s="1"/>
  <c r="R191" i="4"/>
  <c r="S191" i="4" s="1"/>
  <c r="K289" i="4"/>
  <c r="R289" i="4" s="1"/>
  <c r="S289" i="4" s="1"/>
  <c r="R286" i="4"/>
  <c r="S286" i="4" s="1"/>
  <c r="R282" i="4"/>
  <c r="S282" i="4" s="1"/>
  <c r="R278" i="4"/>
  <c r="S278" i="4" s="1"/>
  <c r="K387" i="4"/>
  <c r="O386" i="4"/>
  <c r="R386" i="4" s="1"/>
  <c r="S386" i="4" s="1"/>
  <c r="R383" i="4"/>
  <c r="S383" i="4" s="1"/>
  <c r="O382" i="4"/>
  <c r="R382" i="4" s="1"/>
  <c r="S382" i="4" s="1"/>
  <c r="R379" i="4"/>
  <c r="S379" i="4" s="1"/>
  <c r="O378" i="4"/>
  <c r="R378" i="4" s="1"/>
  <c r="S378" i="4" s="1"/>
  <c r="K435" i="4"/>
  <c r="K425" i="4"/>
  <c r="R190" i="4"/>
  <c r="S190" i="4" s="1"/>
  <c r="R194" i="4"/>
  <c r="S194" i="4" s="1"/>
  <c r="R274" i="4"/>
  <c r="S274" i="4" s="1"/>
  <c r="R387" i="4"/>
  <c r="S387" i="4" s="1"/>
  <c r="R375" i="4"/>
  <c r="S375" i="4" s="1"/>
  <c r="G437" i="4"/>
  <c r="G436" i="4"/>
  <c r="G435" i="4"/>
  <c r="G433" i="4"/>
  <c r="G431" i="4"/>
  <c r="G430" i="4"/>
  <c r="G429" i="4"/>
  <c r="G428" i="4"/>
  <c r="G426" i="4"/>
  <c r="G422" i="4"/>
  <c r="K437" i="4"/>
  <c r="K436" i="4"/>
  <c r="K434" i="4"/>
  <c r="K433" i="4"/>
  <c r="K432" i="4"/>
  <c r="K431" i="4"/>
  <c r="K430" i="4"/>
  <c r="K429" i="4"/>
  <c r="K428" i="4"/>
  <c r="K427" i="4"/>
  <c r="K426" i="4"/>
  <c r="O437" i="4"/>
  <c r="O436" i="4"/>
  <c r="O435" i="4"/>
  <c r="O434" i="4"/>
  <c r="O432" i="4"/>
  <c r="O431" i="4"/>
  <c r="O430" i="4"/>
  <c r="O427" i="4"/>
  <c r="O426" i="4"/>
  <c r="G434" i="4"/>
  <c r="O428" i="4"/>
  <c r="O429" i="4"/>
  <c r="G432" i="4"/>
  <c r="R432" i="4" s="1"/>
  <c r="S432" i="4" s="1"/>
  <c r="K422" i="4"/>
  <c r="O422" i="4"/>
  <c r="G423" i="4"/>
  <c r="K423" i="4"/>
  <c r="O423" i="4"/>
  <c r="G424" i="4"/>
  <c r="K424" i="4"/>
  <c r="O424" i="4"/>
  <c r="G425" i="4"/>
  <c r="O425" i="4"/>
  <c r="K439" i="4" l="1"/>
  <c r="W421" i="4"/>
  <c r="R365" i="7"/>
  <c r="S365" i="7" s="1"/>
  <c r="R357" i="7"/>
  <c r="S357" i="7" s="1"/>
  <c r="E439" i="4"/>
  <c r="V421" i="4"/>
  <c r="E442" i="4"/>
  <c r="D442" i="4"/>
  <c r="AF410" i="4"/>
  <c r="AH361" i="4"/>
  <c r="W439" i="4"/>
  <c r="F439" i="4"/>
  <c r="X421" i="4"/>
  <c r="V439" i="4"/>
  <c r="X439" i="4"/>
  <c r="Y439" i="4"/>
  <c r="Z439" i="4" s="1"/>
  <c r="V291" i="4"/>
  <c r="W291" i="4"/>
  <c r="X389" i="4"/>
  <c r="X291" i="4"/>
  <c r="V389" i="4"/>
  <c r="W389" i="4"/>
  <c r="O389" i="4"/>
  <c r="R421" i="4"/>
  <c r="S421" i="4" s="1"/>
  <c r="O439" i="4"/>
  <c r="R434" i="4"/>
  <c r="S434" i="4" s="1"/>
  <c r="G439" i="4"/>
  <c r="R170" i="4"/>
  <c r="S170" i="4" s="1"/>
  <c r="R146" i="4"/>
  <c r="S146" i="4" s="1"/>
  <c r="R122" i="4"/>
  <c r="S122" i="4" s="1"/>
  <c r="R98" i="4"/>
  <c r="S98" i="4" s="1"/>
  <c r="R74" i="4"/>
  <c r="S74" i="4" s="1"/>
  <c r="R50" i="4"/>
  <c r="S50" i="4" s="1"/>
  <c r="U115" i="5"/>
  <c r="AF115" i="5" s="1"/>
  <c r="AJ115" i="5" s="1"/>
  <c r="R291" i="4"/>
  <c r="S291" i="4" s="1"/>
  <c r="R25" i="4"/>
  <c r="S25" i="4" s="1"/>
  <c r="T120" i="5"/>
  <c r="AF112" i="5"/>
  <c r="AJ112" i="5" s="1"/>
  <c r="U120" i="5"/>
  <c r="AD113" i="5"/>
  <c r="AH113" i="5" s="1"/>
  <c r="S120" i="5"/>
  <c r="R425" i="4"/>
  <c r="S425" i="4" s="1"/>
  <c r="R424" i="4"/>
  <c r="S424" i="4" s="1"/>
  <c r="R423" i="4"/>
  <c r="S423" i="4" s="1"/>
  <c r="R427" i="4"/>
  <c r="S427" i="4" s="1"/>
  <c r="R422" i="4"/>
  <c r="S422" i="4" s="1"/>
  <c r="R439" i="4"/>
  <c r="S439" i="4" s="1"/>
  <c r="R426" i="4"/>
  <c r="S426" i="4" s="1"/>
  <c r="R428" i="4"/>
  <c r="S428" i="4" s="1"/>
  <c r="R429" i="4"/>
  <c r="S429" i="4" s="1"/>
  <c r="R430" i="4"/>
  <c r="S430" i="4" s="1"/>
  <c r="R431" i="4"/>
  <c r="S431" i="4" s="1"/>
  <c r="R433" i="4"/>
  <c r="S433" i="4" s="1"/>
  <c r="R435" i="4"/>
  <c r="S435" i="4" s="1"/>
  <c r="R436" i="4"/>
  <c r="S436" i="4" s="1"/>
  <c r="R437" i="4"/>
  <c r="S437" i="4" s="1"/>
  <c r="R389" i="4"/>
  <c r="S389" i="4" s="1"/>
  <c r="F442" i="4"/>
  <c r="C442" i="4"/>
  <c r="Y389" i="4"/>
  <c r="Z389" i="4" s="1"/>
  <c r="Y291" i="4"/>
  <c r="Z291" i="4" s="1"/>
  <c r="Y421" i="4" l="1"/>
  <c r="Z421" i="4" s="1"/>
</calcChain>
</file>

<file path=xl/sharedStrings.xml><?xml version="1.0" encoding="utf-8"?>
<sst xmlns="http://schemas.openxmlformats.org/spreadsheetml/2006/main" count="4376" uniqueCount="135">
  <si>
    <t>Итого</t>
  </si>
  <si>
    <t>НУЗ "Линейная амбулатория на ст. Волочаевка-2 ОАО РЖД"</t>
  </si>
  <si>
    <t>НУЗ "Отделенческая поликлиника ст. Облучье ОАО "РЖД"</t>
  </si>
  <si>
    <t>ОГБУЗ "Валдгеймская ЦРБ"</t>
  </si>
  <si>
    <t>ОГБУЗ "Николаевская РБ"</t>
  </si>
  <si>
    <t>ОГБУЗ "Смидовичская РБ"</t>
  </si>
  <si>
    <t>ОГБУЗ "Октябрьская ЦРБ"</t>
  </si>
  <si>
    <t>ОГБУЗ "Облученская РБ"</t>
  </si>
  <si>
    <t>ОГБУЗ "Теплоозерская ЦРБ"</t>
  </si>
  <si>
    <t>ОГБУЗ "Ленинская ЦРБ"</t>
  </si>
  <si>
    <t>ОГБУЗ "Детская областная больница"</t>
  </si>
  <si>
    <t>ОГБУЗ "Кожно-венерологический диспансер"</t>
  </si>
  <si>
    <t>ОГБУЗ "Стоматологическая поликлиника"</t>
  </si>
  <si>
    <t>ОГБУЗ "Инфекционная больница"</t>
  </si>
  <si>
    <t>ОГБУЗ "Онкологический диспансер"</t>
  </si>
  <si>
    <t>ОГБУЗ "Областная больница"</t>
  </si>
  <si>
    <t>1.</t>
  </si>
  <si>
    <t>№ п/п</t>
  </si>
  <si>
    <t>8.</t>
  </si>
  <si>
    <t>7.</t>
  </si>
  <si>
    <t>6.</t>
  </si>
  <si>
    <t>5.</t>
  </si>
  <si>
    <t>4.</t>
  </si>
  <si>
    <t>3.</t>
  </si>
  <si>
    <t>2.</t>
  </si>
  <si>
    <t>9.</t>
  </si>
  <si>
    <t>10.</t>
  </si>
  <si>
    <t>11.</t>
  </si>
  <si>
    <t>12.</t>
  </si>
  <si>
    <t>13.</t>
  </si>
  <si>
    <t>15.</t>
  </si>
  <si>
    <t>16.</t>
  </si>
  <si>
    <t>17.</t>
  </si>
  <si>
    <t>Наименование мед.организации</t>
  </si>
  <si>
    <t>ОГБУЗ "ЦЛФиСМ"</t>
  </si>
  <si>
    <r>
      <t>Расходы на содержание мед.орг. в</t>
    </r>
    <r>
      <rPr>
        <b/>
        <sz val="11"/>
        <color indexed="8"/>
        <rFont val="Calibri"/>
        <family val="2"/>
        <charset val="204"/>
      </rPr>
      <t xml:space="preserve"> январе 2013 года, руб. </t>
    </r>
  </si>
  <si>
    <t xml:space="preserve">Филиал "Биробиджанский" СГ "Спасские ворота-М" </t>
  </si>
  <si>
    <t>Филиал ООО "РГС-МЕДИЦИНА" - "Росгосстрах- Биробиджан- Медицина"</t>
  </si>
  <si>
    <t>Филиал ООО СК  "ДАЛЬ-РОСМЕД" в г. Биробиджан</t>
  </si>
  <si>
    <t>Наименование ЛПУ</t>
  </si>
  <si>
    <t>расчет % разбивки на содер-е МО для СМО на 2013 год (исходя из принятых к оплате по СМО за 2012 год), %</t>
  </si>
  <si>
    <t>Дальросмед</t>
  </si>
  <si>
    <t>РГС</t>
  </si>
  <si>
    <t>всего</t>
  </si>
  <si>
    <t>пол-ка</t>
  </si>
  <si>
    <t>ОБЛАСТНАЯ БОЛЬНИЦА</t>
  </si>
  <si>
    <t>ДЕТСКАЯ БОЛЬНИЦА</t>
  </si>
  <si>
    <t>ИНФЕКЦИОННАЯ БОЛЬНИЦА</t>
  </si>
  <si>
    <t>КОЖВЕНДИСПАНСЕР</t>
  </si>
  <si>
    <t>СМИДОВИЧСКАЯ РБ</t>
  </si>
  <si>
    <t>НИКОЛАЕВСКАЯ РБ</t>
  </si>
  <si>
    <t>ЛЕНИНСКАЯ ЦРБ</t>
  </si>
  <si>
    <t>ОКТЯБРЬСКАЯ ЦРБ</t>
  </si>
  <si>
    <t>ВАЛДГЕЙМСКАЯ ЦРБ</t>
  </si>
  <si>
    <t>ВСЕГО ПО ОБЛАСТИ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</si>
  <si>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</si>
  <si>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</si>
  <si>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</si>
  <si>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</si>
  <si>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</si>
  <si>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</si>
  <si>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Спасские </t>
  </si>
  <si>
    <t>стац.</t>
  </si>
  <si>
    <t>днев</t>
  </si>
  <si>
    <t>ИТОГО</t>
  </si>
  <si>
    <t>Спасские</t>
  </si>
  <si>
    <t>амбулаторно-поликлиническая помощь, руб.</t>
  </si>
  <si>
    <t>стационар, руб.</t>
  </si>
  <si>
    <t>дневной стационар, руб.</t>
  </si>
  <si>
    <t>в т.ч в разбивке по страховым медицинским организациям,  руб.</t>
  </si>
  <si>
    <t>итого (гр.4+гр.5+гр.6)</t>
  </si>
  <si>
    <t>итого (гр.8+гр.9+ гр.10)</t>
  </si>
  <si>
    <t>итого (гр.12+гр.13+ гр.14)</t>
  </si>
  <si>
    <t>НЛУ "БСВиЦП"</t>
  </si>
  <si>
    <r>
      <t>Расходы на содержание мед.орг. в</t>
    </r>
    <r>
      <rPr>
        <b/>
        <sz val="11"/>
        <color indexed="8"/>
        <rFont val="Calibri"/>
        <family val="2"/>
        <charset val="204"/>
      </rPr>
      <t xml:space="preserve"> феврале 2013 года, руб. </t>
    </r>
  </si>
  <si>
    <r>
      <t>Расходы на содержание мед.орг. в</t>
    </r>
    <r>
      <rPr>
        <b/>
        <sz val="11"/>
        <color indexed="8"/>
        <rFont val="Calibri"/>
        <family val="2"/>
        <charset val="204"/>
      </rPr>
      <t xml:space="preserve"> марте 2013 года, руб. </t>
    </r>
  </si>
  <si>
    <r>
      <t>Расходы на содержание мед.орг. в</t>
    </r>
    <r>
      <rPr>
        <b/>
        <sz val="11"/>
        <color indexed="8"/>
        <rFont val="Calibri"/>
        <family val="2"/>
        <charset val="204"/>
      </rPr>
      <t xml:space="preserve"> 1 квартале 2013 года, руб. </t>
    </r>
  </si>
  <si>
    <r>
      <t>Расходы на содержание мед.орг. в</t>
    </r>
    <r>
      <rPr>
        <b/>
        <sz val="11"/>
        <color indexed="8"/>
        <rFont val="Calibri"/>
        <family val="2"/>
        <charset val="204"/>
      </rPr>
      <t xml:space="preserve"> апреле 2013 года, руб. </t>
    </r>
  </si>
  <si>
    <r>
      <t>Расходы на содержание мед.орг. в</t>
    </r>
    <r>
      <rPr>
        <b/>
        <sz val="11"/>
        <color indexed="8"/>
        <rFont val="Calibri"/>
        <family val="2"/>
        <charset val="204"/>
      </rPr>
      <t xml:space="preserve"> мае 2013 года, руб. </t>
    </r>
  </si>
  <si>
    <r>
      <t>Расходы на содержание мед.орг. в июне</t>
    </r>
    <r>
      <rPr>
        <b/>
        <sz val="11"/>
        <color indexed="8"/>
        <rFont val="Calibri"/>
        <family val="2"/>
        <charset val="204"/>
      </rPr>
      <t xml:space="preserve"> 2013 года, руб. </t>
    </r>
  </si>
  <si>
    <r>
      <t>Расходы на содержание мед.орг. во</t>
    </r>
    <r>
      <rPr>
        <b/>
        <sz val="11"/>
        <color indexed="8"/>
        <rFont val="Calibri"/>
        <family val="2"/>
        <charset val="204"/>
      </rPr>
      <t xml:space="preserve"> 2 квартале 2013 года, руб. </t>
    </r>
  </si>
  <si>
    <r>
      <t>Расходы на содержание мед.орг. в июле</t>
    </r>
    <r>
      <rPr>
        <b/>
        <sz val="11"/>
        <color indexed="8"/>
        <rFont val="Calibri"/>
        <family val="2"/>
        <charset val="204"/>
      </rPr>
      <t xml:space="preserve"> 2013 года, руб. </t>
    </r>
  </si>
  <si>
    <r>
      <t>Расходы на содержание мед.орг. в августе</t>
    </r>
    <r>
      <rPr>
        <b/>
        <sz val="11"/>
        <color indexed="8"/>
        <rFont val="Calibri"/>
        <family val="2"/>
        <charset val="204"/>
      </rPr>
      <t xml:space="preserve"> 2013 года, руб. </t>
    </r>
  </si>
  <si>
    <r>
      <t xml:space="preserve">Расходы на содержание мед.орг. </t>
    </r>
    <r>
      <rPr>
        <b/>
        <sz val="11"/>
        <color indexed="8"/>
        <rFont val="Calibri"/>
        <family val="2"/>
        <charset val="204"/>
      </rPr>
      <t>в сентябре</t>
    </r>
    <r>
      <rPr>
        <b/>
        <sz val="11"/>
        <color indexed="8"/>
        <rFont val="Calibri"/>
        <family val="2"/>
        <charset val="204"/>
      </rPr>
      <t xml:space="preserve"> 2013 года, руб. </t>
    </r>
  </si>
  <si>
    <r>
      <t xml:space="preserve">Расходы на содержание мед.орг. </t>
    </r>
    <r>
      <rPr>
        <b/>
        <sz val="11"/>
        <color indexed="8"/>
        <rFont val="Calibri"/>
        <family val="2"/>
        <charset val="204"/>
      </rPr>
      <t>в октябре</t>
    </r>
    <r>
      <rPr>
        <b/>
        <sz val="11"/>
        <color indexed="8"/>
        <rFont val="Calibri"/>
        <family val="2"/>
        <charset val="204"/>
      </rPr>
      <t xml:space="preserve"> 2013 года, руб. </t>
    </r>
  </si>
  <si>
    <r>
      <t xml:space="preserve">Расходы на содержание мед.орг. </t>
    </r>
    <r>
      <rPr>
        <b/>
        <sz val="11"/>
        <color indexed="8"/>
        <rFont val="Calibri"/>
        <family val="2"/>
        <charset val="204"/>
      </rPr>
      <t>в 3 квартале</t>
    </r>
    <r>
      <rPr>
        <b/>
        <sz val="11"/>
        <color indexed="8"/>
        <rFont val="Calibri"/>
        <family val="2"/>
        <charset val="204"/>
      </rPr>
      <t xml:space="preserve"> 2013 года, руб. </t>
    </r>
  </si>
  <si>
    <r>
      <t xml:space="preserve">Расходы на содержание мед.орг. </t>
    </r>
    <r>
      <rPr>
        <b/>
        <sz val="11"/>
        <color indexed="8"/>
        <rFont val="Calibri"/>
        <family val="2"/>
        <charset val="204"/>
      </rPr>
      <t>в ноябре</t>
    </r>
    <r>
      <rPr>
        <b/>
        <sz val="11"/>
        <color indexed="8"/>
        <rFont val="Calibri"/>
        <family val="2"/>
        <charset val="204"/>
      </rPr>
      <t xml:space="preserve"> 2013 года, руб. </t>
    </r>
  </si>
  <si>
    <r>
      <t xml:space="preserve">Расходы на содержание мед.орг. </t>
    </r>
    <r>
      <rPr>
        <b/>
        <sz val="11"/>
        <color indexed="8"/>
        <rFont val="Calibri"/>
        <family val="2"/>
        <charset val="204"/>
      </rPr>
      <t>в декабре</t>
    </r>
    <r>
      <rPr>
        <b/>
        <sz val="11"/>
        <color indexed="8"/>
        <rFont val="Calibri"/>
        <family val="2"/>
        <charset val="204"/>
      </rPr>
      <t xml:space="preserve"> 2013 года, руб. </t>
    </r>
  </si>
  <si>
    <r>
      <t xml:space="preserve">Расходы на содержание мед.орг. </t>
    </r>
    <r>
      <rPr>
        <b/>
        <sz val="11"/>
        <color indexed="8"/>
        <rFont val="Calibri"/>
        <family val="2"/>
        <charset val="204"/>
      </rPr>
      <t>в 4 квартале</t>
    </r>
    <r>
      <rPr>
        <b/>
        <sz val="11"/>
        <color indexed="8"/>
        <rFont val="Calibri"/>
        <family val="2"/>
        <charset val="204"/>
      </rPr>
      <t xml:space="preserve"> 2013 года, руб. </t>
    </r>
  </si>
  <si>
    <r>
      <t>Расходы на содержание мед.орг. на</t>
    </r>
    <r>
      <rPr>
        <b/>
        <sz val="11"/>
        <color indexed="8"/>
        <rFont val="Calibri"/>
        <family val="2"/>
        <charset val="204"/>
      </rPr>
      <t xml:space="preserve"> 2013 год, руб. </t>
    </r>
  </si>
  <si>
    <t>18.</t>
  </si>
  <si>
    <t>ЗАО "МЦОГ и Х-Санус"</t>
  </si>
  <si>
    <t>Сумма добавки к расходам на содержание мед.орг.на 2013 год с 01.07.2013 года</t>
  </si>
  <si>
    <t>Сумма добавки к расходам на содержание МО по СМО с 01.07.13 , руб.</t>
  </si>
  <si>
    <t>Объем гарантий по расходам на содержание медицинских организаций в 2013 году (с 01.07.2013 года)</t>
  </si>
  <si>
    <t>Объем гарантий по расходам на содержание медицинских организаций в 2013 году  (с 01.07.2013 года)</t>
  </si>
  <si>
    <t>стац</t>
  </si>
  <si>
    <t>дн.</t>
  </si>
  <si>
    <t>Всего</t>
  </si>
  <si>
    <r>
      <t xml:space="preserve">Расходы на содержание мед.орг. </t>
    </r>
    <r>
      <rPr>
        <b/>
        <sz val="11"/>
        <color theme="1"/>
        <rFont val="Calibri"/>
        <family val="2"/>
        <charset val="204"/>
        <scheme val="minor"/>
      </rPr>
      <t xml:space="preserve">на 2 полугодие </t>
    </r>
    <r>
      <rPr>
        <b/>
        <sz val="11"/>
        <color indexed="8"/>
        <rFont val="Calibri"/>
        <family val="2"/>
        <charset val="204"/>
      </rPr>
      <t xml:space="preserve"> 2013 год, руб. </t>
    </r>
  </si>
  <si>
    <t>дн.стац</t>
  </si>
  <si>
    <t>780000 руб.* 0,833212983 к-т по иногор.= 6499 руб.иногор.= 780000-6499= 773501 руб. без иногор.</t>
  </si>
  <si>
    <t>260 000 руб.* 0,833212983 к-т по иногор.= 2166 руб.иногор.= 260000-2166= 257834 руб. без иногор.</t>
  </si>
  <si>
    <t>снять с декабря</t>
  </si>
  <si>
    <t>добавить в июль</t>
  </si>
  <si>
    <t>добавить в август</t>
  </si>
  <si>
    <t>добавить в сентябрь</t>
  </si>
  <si>
    <t>уд.вес, %</t>
  </si>
  <si>
    <t>ДРМ= 0,150%</t>
  </si>
  <si>
    <t>РГС= 99,153%</t>
  </si>
  <si>
    <t>СВ= 0,697%</t>
  </si>
  <si>
    <t>к тарифному соглашению в системе ОМС ЕАО на 2015 год</t>
  </si>
  <si>
    <t>Объем гарантий по расходам на содержание медицинских организаций на 2015 год в разбивке по страховым медицинским организациям с 01.01.2015 года</t>
  </si>
  <si>
    <r>
      <t>Расходы на содержание мед.орг. в</t>
    </r>
    <r>
      <rPr>
        <b/>
        <sz val="11"/>
        <rFont val="Calibri"/>
        <family val="2"/>
        <charset val="204"/>
      </rPr>
      <t xml:space="preserve"> январе 2015 года, руб. </t>
    </r>
  </si>
  <si>
    <r>
      <t>Расходы на содержание мед.орг. в</t>
    </r>
    <r>
      <rPr>
        <b/>
        <sz val="11"/>
        <rFont val="Calibri"/>
        <family val="2"/>
        <charset val="204"/>
      </rPr>
      <t xml:space="preserve"> феврале 2015 года, руб. </t>
    </r>
  </si>
  <si>
    <r>
      <t>Расходы на содержание мед.орг. в</t>
    </r>
    <r>
      <rPr>
        <b/>
        <sz val="11"/>
        <rFont val="Calibri"/>
        <family val="2"/>
        <charset val="204"/>
      </rPr>
      <t xml:space="preserve"> марте 2015 года, руб. </t>
    </r>
  </si>
  <si>
    <r>
      <t>Расходы на содержание мед.орг. в</t>
    </r>
    <r>
      <rPr>
        <b/>
        <sz val="11"/>
        <rFont val="Calibri"/>
        <family val="2"/>
        <charset val="204"/>
      </rPr>
      <t xml:space="preserve"> 1 квартале 2015 года, руб. </t>
    </r>
  </si>
  <si>
    <r>
      <t>Расходы на содержание мед.орг. в</t>
    </r>
    <r>
      <rPr>
        <b/>
        <sz val="11"/>
        <rFont val="Calibri"/>
        <family val="2"/>
        <charset val="204"/>
      </rPr>
      <t xml:space="preserve"> апреле 2015 года, руб. </t>
    </r>
  </si>
  <si>
    <r>
      <t>Расходы на содержание мед.орг. в</t>
    </r>
    <r>
      <rPr>
        <b/>
        <sz val="11"/>
        <rFont val="Calibri"/>
        <family val="2"/>
        <charset val="204"/>
      </rPr>
      <t xml:space="preserve"> мае 2015 года, руб. </t>
    </r>
  </si>
  <si>
    <r>
      <t xml:space="preserve">Расходы на содержание мед.орг. </t>
    </r>
    <r>
      <rPr>
        <b/>
        <sz val="11"/>
        <rFont val="Calibri"/>
        <family val="2"/>
        <charset val="204"/>
        <scheme val="minor"/>
      </rPr>
      <t>в июне</t>
    </r>
    <r>
      <rPr>
        <b/>
        <sz val="11"/>
        <rFont val="Calibri"/>
        <family val="2"/>
        <charset val="204"/>
      </rPr>
      <t xml:space="preserve"> 2015 года, руб. </t>
    </r>
  </si>
  <si>
    <r>
      <t>Расходы на содержание мед.орг. во</t>
    </r>
    <r>
      <rPr>
        <b/>
        <sz val="11"/>
        <rFont val="Calibri"/>
        <family val="2"/>
        <charset val="204"/>
      </rPr>
      <t xml:space="preserve"> 2 квартале 2015 года, руб. </t>
    </r>
  </si>
  <si>
    <r>
      <t xml:space="preserve">Расходы на содержание мед.орг. в </t>
    </r>
    <r>
      <rPr>
        <b/>
        <sz val="11"/>
        <rFont val="Calibri"/>
        <family val="2"/>
        <charset val="204"/>
        <scheme val="minor"/>
      </rPr>
      <t>июле</t>
    </r>
    <r>
      <rPr>
        <b/>
        <sz val="11"/>
        <rFont val="Calibri"/>
        <family val="2"/>
        <charset val="204"/>
      </rPr>
      <t xml:space="preserve"> 2015 года, руб. </t>
    </r>
  </si>
  <si>
    <r>
      <t xml:space="preserve">Расходы на содержание мед.орг. </t>
    </r>
    <r>
      <rPr>
        <b/>
        <sz val="11"/>
        <rFont val="Calibri"/>
        <family val="2"/>
        <charset val="204"/>
        <scheme val="minor"/>
      </rPr>
      <t>в августе</t>
    </r>
    <r>
      <rPr>
        <b/>
        <sz val="11"/>
        <rFont val="Calibri"/>
        <family val="2"/>
        <charset val="204"/>
      </rPr>
      <t xml:space="preserve"> 2015 года, руб. </t>
    </r>
  </si>
  <si>
    <r>
      <t xml:space="preserve">Расходы на содержание мед.орг. </t>
    </r>
    <r>
      <rPr>
        <b/>
        <sz val="11"/>
        <rFont val="Calibri"/>
        <family val="2"/>
        <charset val="204"/>
      </rPr>
      <t xml:space="preserve">в сентябре 2015 года, руб. </t>
    </r>
  </si>
  <si>
    <r>
      <t xml:space="preserve">Расходы на содержание мед.орг. </t>
    </r>
    <r>
      <rPr>
        <b/>
        <sz val="11"/>
        <rFont val="Calibri"/>
        <family val="2"/>
        <charset val="204"/>
      </rPr>
      <t xml:space="preserve">в 3 квартале 2015 года, руб. </t>
    </r>
  </si>
  <si>
    <r>
      <t xml:space="preserve">Расходы на содержание мед.орг. </t>
    </r>
    <r>
      <rPr>
        <b/>
        <sz val="11"/>
        <rFont val="Calibri"/>
        <family val="2"/>
        <charset val="204"/>
      </rPr>
      <t xml:space="preserve">в октябре 2015 года, руб. </t>
    </r>
  </si>
  <si>
    <r>
      <t xml:space="preserve">Расходы на содержание мед.орг. </t>
    </r>
    <r>
      <rPr>
        <b/>
        <sz val="11"/>
        <rFont val="Calibri"/>
        <family val="2"/>
        <charset val="204"/>
      </rPr>
      <t xml:space="preserve">в декабре 2015 года, руб. </t>
    </r>
  </si>
  <si>
    <r>
      <t xml:space="preserve">Расходы на содержание мед.орг. </t>
    </r>
    <r>
      <rPr>
        <b/>
        <sz val="11"/>
        <rFont val="Calibri"/>
        <family val="2"/>
        <charset val="204"/>
      </rPr>
      <t xml:space="preserve">в ноябре 2015 года, руб. </t>
    </r>
  </si>
  <si>
    <r>
      <t xml:space="preserve">Расходы на содержание мед.орг. </t>
    </r>
    <r>
      <rPr>
        <b/>
        <sz val="11"/>
        <rFont val="Calibri"/>
        <family val="2"/>
        <charset val="204"/>
      </rPr>
      <t xml:space="preserve">в 4 квартале 2015 года, руб. </t>
    </r>
  </si>
  <si>
    <r>
      <t>Расходы на содержание мед.орг. на</t>
    </r>
    <r>
      <rPr>
        <b/>
        <sz val="11"/>
        <rFont val="Calibri"/>
        <family val="2"/>
        <charset val="204"/>
      </rPr>
      <t xml:space="preserve"> 2015 год, руб. </t>
    </r>
  </si>
  <si>
    <t>НУЗ "Отделенческая поликлиника ст.Хабаровск-1 ОАО "РЖД" - Структурное подразделение Отделенческая поликлиника на ст.Облучье</t>
  </si>
  <si>
    <t>НУЗ "Отделенческая поликлиника ст.Хабаровск-1 ОАО "РЖД" - Структурное подразделение Линейная амбулатория на ст.Волочаевка-2</t>
  </si>
  <si>
    <t>ЗАО "МЦОГЭМХМР-Санус"</t>
  </si>
  <si>
    <r>
      <t>Приложение №__</t>
    </r>
    <r>
      <rPr>
        <u/>
        <sz val="12"/>
        <rFont val="Times New Roman"/>
        <family val="1"/>
        <charset val="204"/>
      </rPr>
      <t>52</t>
    </r>
    <r>
      <rPr>
        <sz val="12"/>
        <rFont val="Times New Roman"/>
        <family val="1"/>
        <charset val="204"/>
      </rPr>
      <t>__</t>
    </r>
  </si>
  <si>
    <r>
      <t>от "__</t>
    </r>
    <r>
      <rPr>
        <u/>
        <sz val="12"/>
        <rFont val="Times New Roman"/>
        <family val="1"/>
        <charset val="204"/>
      </rPr>
      <t>11</t>
    </r>
    <r>
      <rPr>
        <sz val="12"/>
        <rFont val="Times New Roman"/>
        <family val="1"/>
        <charset val="204"/>
      </rPr>
      <t>__" __</t>
    </r>
    <r>
      <rPr>
        <u/>
        <sz val="12"/>
        <rFont val="Times New Roman"/>
        <family val="1"/>
        <charset val="204"/>
      </rPr>
      <t>февраля</t>
    </r>
    <r>
      <rPr>
        <sz val="12"/>
        <rFont val="Times New Roman"/>
        <family val="1"/>
        <charset val="204"/>
      </rPr>
      <t>__2015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</si>
</sst>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00%"/>
    <numFmt numFmtId="165" formatCode="#,##0.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Times New Roman"/>
      <family val="1"/>
      <charset val="204"/>
    </font>
    <font>
      <sz val="12.5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9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12.5"/>
      <name val="Calibri"/>
      <family val="2"/>
      <scheme val="minor"/>
    </font>
    <font>
      <b/>
      <sz val="12"/>
      <name val="Calibri"/>
      <family val="2"/>
      <charset val="204"/>
      <scheme val="minor"/>
    </font>
    <font>
      <u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9FF3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43" fontId="3" fillId="0" borderId="0" applyFont="0" applyFill="0" applyBorder="0" applyAlignment="0" applyProtection="0"/>
  </cellStyleXfs>
  <cellXfs count="185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/>
    </xf>
    <xf numFmtId="0" fontId="3" fillId="0" borderId="0" xfId="1"/>
    <xf numFmtId="0" fontId="5" fillId="0" borderId="0" xfId="1" applyFont="1" applyFill="1" applyAlignment="1">
      <alignment wrapText="1"/>
    </xf>
    <xf numFmtId="0" fontId="3" fillId="0" borderId="1" xfId="1" applyBorder="1" applyAlignment="1">
      <alignment horizontal="center" vertical="center" wrapText="1"/>
    </xf>
    <xf numFmtId="0" fontId="3" fillId="0" borderId="0" xfId="1" applyAlignment="1">
      <alignment horizontal="center" vertical="center"/>
    </xf>
    <xf numFmtId="0" fontId="6" fillId="2" borderId="1" xfId="1" applyFont="1" applyFill="1" applyBorder="1"/>
    <xf numFmtId="0" fontId="3" fillId="2" borderId="1" xfId="1" applyFill="1" applyBorder="1"/>
    <xf numFmtId="0" fontId="7" fillId="0" borderId="1" xfId="1" applyFont="1" applyBorder="1" applyAlignment="1">
      <alignment horizontal="center" vertical="center"/>
    </xf>
    <xf numFmtId="0" fontId="7" fillId="0" borderId="0" xfId="1" applyFont="1"/>
    <xf numFmtId="4" fontId="3" fillId="0" borderId="0" xfId="1" applyNumberFormat="1"/>
    <xf numFmtId="4" fontId="3" fillId="0" borderId="1" xfId="1" applyNumberFormat="1" applyBorder="1"/>
    <xf numFmtId="0" fontId="5" fillId="3" borderId="2" xfId="1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3" fillId="2" borderId="0" xfId="1" applyFill="1"/>
    <xf numFmtId="0" fontId="7" fillId="0" borderId="3" xfId="1" applyFont="1" applyBorder="1" applyAlignment="1">
      <alignment horizontal="center" vertical="center"/>
    </xf>
    <xf numFmtId="4" fontId="7" fillId="0" borderId="3" xfId="1" applyNumberFormat="1" applyFont="1" applyBorder="1"/>
    <xf numFmtId="0" fontId="7" fillId="0" borderId="6" xfId="1" applyFont="1" applyBorder="1" applyAlignment="1">
      <alignment horizontal="center" vertical="center"/>
    </xf>
    <xf numFmtId="4" fontId="7" fillId="2" borderId="7" xfId="1" applyNumberFormat="1" applyFont="1" applyFill="1" applyBorder="1"/>
    <xf numFmtId="4" fontId="7" fillId="2" borderId="8" xfId="1" applyNumberFormat="1" applyFont="1" applyFill="1" applyBorder="1"/>
    <xf numFmtId="4" fontId="7" fillId="2" borderId="9" xfId="1" applyNumberFormat="1" applyFont="1" applyFill="1" applyBorder="1"/>
    <xf numFmtId="4" fontId="3" fillId="2" borderId="0" xfId="1" applyNumberFormat="1" applyFill="1"/>
    <xf numFmtId="0" fontId="4" fillId="3" borderId="2" xfId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wrapText="1"/>
    </xf>
    <xf numFmtId="0" fontId="7" fillId="2" borderId="3" xfId="1" applyFont="1" applyFill="1" applyBorder="1" applyAlignment="1">
      <alignment horizontal="center" vertical="center" wrapText="1"/>
    </xf>
    <xf numFmtId="4" fontId="7" fillId="2" borderId="3" xfId="1" applyNumberFormat="1" applyFont="1" applyFill="1" applyBorder="1" applyAlignment="1">
      <alignment horizontal="center"/>
    </xf>
    <xf numFmtId="4" fontId="7" fillId="2" borderId="12" xfId="1" applyNumberFormat="1" applyFont="1" applyFill="1" applyBorder="1"/>
    <xf numFmtId="4" fontId="3" fillId="0" borderId="1" xfId="1" applyNumberFormat="1" applyFont="1" applyBorder="1" applyAlignment="1">
      <alignment horizontal="center"/>
    </xf>
    <xf numFmtId="4" fontId="3" fillId="0" borderId="6" xfId="1" applyNumberFormat="1" applyFont="1" applyBorder="1" applyAlignment="1">
      <alignment horizontal="center"/>
    </xf>
    <xf numFmtId="4" fontId="7" fillId="2" borderId="14" xfId="1" applyNumberFormat="1" applyFont="1" applyFill="1" applyBorder="1"/>
    <xf numFmtId="4" fontId="3" fillId="0" borderId="15" xfId="1" applyNumberFormat="1" applyBorder="1" applyAlignment="1">
      <alignment horizontal="center"/>
    </xf>
    <xf numFmtId="0" fontId="7" fillId="0" borderId="13" xfId="1" applyFont="1" applyBorder="1" applyAlignment="1">
      <alignment horizontal="center" vertical="center"/>
    </xf>
    <xf numFmtId="4" fontId="7" fillId="0" borderId="17" xfId="1" applyNumberFormat="1" applyFont="1" applyBorder="1" applyAlignment="1">
      <alignment horizontal="center"/>
    </xf>
    <xf numFmtId="4" fontId="7" fillId="0" borderId="16" xfId="1" applyNumberFormat="1" applyFont="1" applyBorder="1" applyAlignment="1">
      <alignment horizontal="center"/>
    </xf>
    <xf numFmtId="4" fontId="7" fillId="2" borderId="18" xfId="1" applyNumberFormat="1" applyFont="1" applyFill="1" applyBorder="1"/>
    <xf numFmtId="4" fontId="3" fillId="0" borderId="13" xfId="1" applyNumberFormat="1" applyBorder="1"/>
    <xf numFmtId="4" fontId="3" fillId="0" borderId="15" xfId="1" applyNumberFormat="1" applyBorder="1"/>
    <xf numFmtId="4" fontId="3" fillId="0" borderId="3" xfId="1" applyNumberFormat="1" applyBorder="1"/>
    <xf numFmtId="4" fontId="3" fillId="0" borderId="16" xfId="1" applyNumberFormat="1" applyBorder="1"/>
    <xf numFmtId="4" fontId="3" fillId="0" borderId="6" xfId="1" applyNumberFormat="1" applyBorder="1"/>
    <xf numFmtId="4" fontId="3" fillId="0" borderId="19" xfId="1" applyNumberFormat="1" applyFont="1" applyBorder="1" applyAlignment="1">
      <alignment horizontal="center"/>
    </xf>
    <xf numFmtId="4" fontId="3" fillId="0" borderId="10" xfId="1" applyNumberFormat="1" applyFont="1" applyBorder="1" applyAlignment="1">
      <alignment horizontal="center"/>
    </xf>
    <xf numFmtId="4" fontId="3" fillId="0" borderId="11" xfId="1" applyNumberFormat="1" applyBorder="1"/>
    <xf numFmtId="4" fontId="7" fillId="0" borderId="16" xfId="1" applyNumberFormat="1" applyFont="1" applyBorder="1"/>
    <xf numFmtId="4" fontId="3" fillId="0" borderId="1" xfId="1" applyNumberFormat="1" applyFont="1" applyBorder="1"/>
    <xf numFmtId="4" fontId="3" fillId="0" borderId="6" xfId="1" applyNumberFormat="1" applyFont="1" applyBorder="1"/>
    <xf numFmtId="4" fontId="3" fillId="0" borderId="3" xfId="1" applyNumberFormat="1" applyFont="1" applyBorder="1"/>
    <xf numFmtId="4" fontId="7" fillId="2" borderId="20" xfId="1" applyNumberFormat="1" applyFont="1" applyFill="1" applyBorder="1"/>
    <xf numFmtId="4" fontId="3" fillId="0" borderId="4" xfId="1" applyNumberFormat="1" applyBorder="1"/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4" fontId="0" fillId="0" borderId="1" xfId="0" applyNumberFormat="1" applyFill="1" applyBorder="1" applyAlignment="1">
      <alignment horizontal="center"/>
    </xf>
    <xf numFmtId="0" fontId="0" fillId="0" borderId="0" xfId="0" applyFill="1"/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0" fillId="0" borderId="0" xfId="0" applyNumberFormat="1" applyFill="1"/>
    <xf numFmtId="164" fontId="3" fillId="0" borderId="0" xfId="1" applyNumberFormat="1"/>
    <xf numFmtId="10" fontId="3" fillId="0" borderId="0" xfId="1" applyNumberFormat="1"/>
    <xf numFmtId="0" fontId="1" fillId="0" borderId="1" xfId="0" applyFont="1" applyBorder="1" applyAlignment="1">
      <alignment horizontal="left" vertical="center" wrapText="1"/>
    </xf>
    <xf numFmtId="0" fontId="3" fillId="0" borderId="1" xfId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4" fontId="7" fillId="2" borderId="9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3" fillId="0" borderId="0" xfId="1" applyFill="1" applyBorder="1"/>
    <xf numFmtId="4" fontId="7" fillId="0" borderId="0" xfId="1" applyNumberFormat="1" applyFont="1" applyFill="1" applyBorder="1" applyAlignment="1">
      <alignment horizontal="center"/>
    </xf>
    <xf numFmtId="4" fontId="7" fillId="0" borderId="0" xfId="1" applyNumberFormat="1" applyFont="1" applyFill="1" applyBorder="1"/>
    <xf numFmtId="0" fontId="3" fillId="0" borderId="0" xfId="1" applyFill="1"/>
    <xf numFmtId="0" fontId="7" fillId="0" borderId="0" xfId="1" applyFont="1" applyFill="1"/>
    <xf numFmtId="0" fontId="9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3" fillId="0" borderId="0" xfId="1" applyNumberFormat="1" applyAlignment="1">
      <alignment horizontal="center" vertical="center"/>
    </xf>
    <xf numFmtId="4" fontId="7" fillId="0" borderId="0" xfId="1" applyNumberFormat="1" applyFont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3" fillId="0" borderId="1" xfId="1" applyBorder="1"/>
    <xf numFmtId="4" fontId="7" fillId="0" borderId="1" xfId="1" applyNumberFormat="1" applyFont="1" applyBorder="1"/>
    <xf numFmtId="4" fontId="7" fillId="0" borderId="0" xfId="1" applyNumberFormat="1" applyFont="1"/>
    <xf numFmtId="4" fontId="3" fillId="5" borderId="0" xfId="1" applyNumberFormat="1" applyFill="1"/>
    <xf numFmtId="4" fontId="3" fillId="5" borderId="1" xfId="1" applyNumberFormat="1" applyFill="1" applyBorder="1"/>
    <xf numFmtId="0" fontId="13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 wrapText="1"/>
    </xf>
    <xf numFmtId="0" fontId="15" fillId="0" borderId="0" xfId="0" applyFont="1"/>
    <xf numFmtId="4" fontId="15" fillId="0" borderId="0" xfId="0" applyNumberFormat="1" applyFont="1" applyAlignment="1">
      <alignment horizontal="center" vertical="center" wrapText="1"/>
    </xf>
    <xf numFmtId="4" fontId="15" fillId="0" borderId="0" xfId="0" applyNumberFormat="1" applyFont="1"/>
    <xf numFmtId="4" fontId="12" fillId="0" borderId="0" xfId="0" applyNumberFormat="1" applyFont="1" applyAlignment="1">
      <alignment horizontal="center" vertical="center" wrapText="1"/>
    </xf>
    <xf numFmtId="0" fontId="9" fillId="0" borderId="0" xfId="0" applyFont="1"/>
    <xf numFmtId="4" fontId="11" fillId="5" borderId="0" xfId="0" applyNumberFormat="1" applyFont="1" applyFill="1" applyAlignment="1">
      <alignment horizontal="center" vertical="center" wrapText="1"/>
    </xf>
    <xf numFmtId="0" fontId="5" fillId="3" borderId="1" xfId="1" applyFont="1" applyFill="1" applyBorder="1" applyAlignment="1">
      <alignment vertical="center" wrapText="1"/>
    </xf>
    <xf numFmtId="0" fontId="3" fillId="0" borderId="0" xfId="1" applyAlignment="1">
      <alignment horizontal="center"/>
    </xf>
    <xf numFmtId="0" fontId="5" fillId="3" borderId="1" xfId="1" applyFont="1" applyFill="1" applyBorder="1" applyAlignment="1">
      <alignment horizontal="left" vertical="center" wrapText="1"/>
    </xf>
    <xf numFmtId="3" fontId="3" fillId="0" borderId="1" xfId="1" applyNumberFormat="1" applyBorder="1" applyAlignment="1">
      <alignment horizontal="center"/>
    </xf>
    <xf numFmtId="3" fontId="3" fillId="0" borderId="1" xfId="1" applyNumberFormat="1" applyBorder="1"/>
    <xf numFmtId="3" fontId="7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65" fontId="0" fillId="0" borderId="0" xfId="0" applyNumberFormat="1"/>
    <xf numFmtId="4" fontId="0" fillId="0" borderId="1" xfId="0" applyNumberFormat="1" applyBorder="1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right"/>
    </xf>
    <xf numFmtId="2" fontId="0" fillId="0" borderId="1" xfId="0" applyNumberFormat="1" applyBorder="1"/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/>
    <xf numFmtId="0" fontId="16" fillId="0" borderId="0" xfId="0" applyFont="1" applyAlignment="1">
      <alignment horizontal="right"/>
    </xf>
    <xf numFmtId="4" fontId="17" fillId="0" borderId="1" xfId="0" applyNumberFormat="1" applyFont="1" applyBorder="1" applyAlignment="1">
      <alignment horizontal="center"/>
    </xf>
    <xf numFmtId="4" fontId="17" fillId="0" borderId="1" xfId="0" applyNumberFormat="1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/>
    <xf numFmtId="0" fontId="18" fillId="0" borderId="0" xfId="0" applyFont="1" applyFill="1"/>
    <xf numFmtId="0" fontId="18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/>
    </xf>
    <xf numFmtId="0" fontId="20" fillId="0" borderId="1" xfId="0" applyFont="1" applyBorder="1" applyAlignment="1">
      <alignment horizontal="left" vertical="center"/>
    </xf>
    <xf numFmtId="4" fontId="24" fillId="0" borderId="1" xfId="0" applyNumberFormat="1" applyFont="1" applyBorder="1" applyAlignment="1">
      <alignment horizontal="center" vertical="center"/>
    </xf>
    <xf numFmtId="0" fontId="25" fillId="0" borderId="0" xfId="0" applyFont="1" applyFill="1" applyAlignment="1">
      <alignment horizontal="center"/>
    </xf>
    <xf numFmtId="4" fontId="18" fillId="0" borderId="0" xfId="0" applyNumberFormat="1" applyFont="1"/>
    <xf numFmtId="4" fontId="18" fillId="0" borderId="0" xfId="0" applyNumberFormat="1" applyFont="1" applyFill="1"/>
    <xf numFmtId="0" fontId="20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4" fillId="3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30" xfId="1" applyFont="1" applyBorder="1" applyAlignment="1">
      <alignment horizontal="center" vertical="center"/>
    </xf>
    <xf numFmtId="0" fontId="7" fillId="0" borderId="31" xfId="1" applyFont="1" applyBorder="1" applyAlignment="1">
      <alignment horizontal="center" vertical="center"/>
    </xf>
    <xf numFmtId="0" fontId="7" fillId="0" borderId="32" xfId="1" applyFont="1" applyBorder="1" applyAlignment="1">
      <alignment horizontal="center" vertical="center"/>
    </xf>
    <xf numFmtId="0" fontId="3" fillId="0" borderId="21" xfId="1" applyBorder="1" applyAlignment="1">
      <alignment horizontal="center" vertical="center"/>
    </xf>
    <xf numFmtId="0" fontId="3" fillId="0" borderId="22" xfId="1" applyBorder="1" applyAlignment="1">
      <alignment horizontal="center" vertical="center"/>
    </xf>
    <xf numFmtId="0" fontId="3" fillId="0" borderId="26" xfId="1" applyBorder="1" applyAlignment="1">
      <alignment horizontal="center" vertical="center"/>
    </xf>
    <xf numFmtId="0" fontId="7" fillId="0" borderId="27" xfId="1" applyFont="1" applyBorder="1" applyAlignment="1">
      <alignment horizontal="center" vertical="center"/>
    </xf>
    <xf numFmtId="0" fontId="7" fillId="0" borderId="28" xfId="1" applyFont="1" applyBorder="1" applyAlignment="1">
      <alignment horizontal="center" vertical="center"/>
    </xf>
    <xf numFmtId="0" fontId="7" fillId="0" borderId="29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23" xfId="1" applyFont="1" applyBorder="1" applyAlignment="1">
      <alignment horizontal="center" vertical="center"/>
    </xf>
    <xf numFmtId="0" fontId="7" fillId="0" borderId="24" xfId="1" applyFont="1" applyBorder="1" applyAlignment="1">
      <alignment horizontal="center" vertical="center"/>
    </xf>
    <xf numFmtId="0" fontId="7" fillId="0" borderId="25" xfId="1" applyFont="1" applyBorder="1" applyAlignment="1">
      <alignment horizontal="center" vertical="center"/>
    </xf>
    <xf numFmtId="0" fontId="7" fillId="0" borderId="26" xfId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colors>
    <mruColors>
      <color rgb="FF99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amovskaya/&#1056;&#1072;&#1073;&#1086;&#1095;&#1080;&#1081;%20&#1089;&#1090;&#1086;&#1083;/&#1056;&#1072;&#1089;&#1093;%20&#1085;&#1072;%20&#1089;&#1086;&#1076;&#1077;&#1088;&#1078;%202013%20&#1075;%20&#1073;&#1077;&#1079;%20&#1048;&#1053;&#1054;&#1043;&#1054;&#1056;&#1054;&#1044;&#1053;&#1048;&#106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 на содерж 2013 г по СМО"/>
      <sheetName val="Свод по видам помощи"/>
      <sheetName val="расходы на содерж-е МО 2013"/>
      <sheetName val="Лист3"/>
    </sheetNames>
    <sheetDataSet>
      <sheetData sheetId="0" refreshError="1"/>
      <sheetData sheetId="1" refreshError="1">
        <row r="190">
          <cell r="D190">
            <v>451024</v>
          </cell>
          <cell r="E190">
            <v>4027865</v>
          </cell>
          <cell r="F190">
            <v>0</v>
          </cell>
        </row>
        <row r="192">
          <cell r="D192">
            <v>0</v>
          </cell>
          <cell r="E192">
            <v>852858</v>
          </cell>
          <cell r="F192">
            <v>0</v>
          </cell>
        </row>
        <row r="194">
          <cell r="D194">
            <v>36922</v>
          </cell>
          <cell r="E194">
            <v>58090</v>
          </cell>
          <cell r="F194">
            <v>24710</v>
          </cell>
        </row>
        <row r="196">
          <cell r="D196">
            <v>389959</v>
          </cell>
          <cell r="E196">
            <v>510024</v>
          </cell>
          <cell r="F196">
            <v>24308</v>
          </cell>
        </row>
        <row r="197">
          <cell r="D197">
            <v>124748</v>
          </cell>
          <cell r="E197">
            <v>369888</v>
          </cell>
          <cell r="F197">
            <v>0</v>
          </cell>
        </row>
        <row r="200">
          <cell r="D200">
            <v>158461</v>
          </cell>
          <cell r="E200">
            <v>137106</v>
          </cell>
          <cell r="F200">
            <v>2685</v>
          </cell>
        </row>
        <row r="201">
          <cell r="D201">
            <v>86185</v>
          </cell>
          <cell r="E201">
            <v>268798</v>
          </cell>
          <cell r="F201">
            <v>14907</v>
          </cell>
        </row>
        <row r="202">
          <cell r="D202">
            <v>111260</v>
          </cell>
          <cell r="E202">
            <v>187489</v>
          </cell>
          <cell r="F202">
            <v>7754</v>
          </cell>
        </row>
        <row r="203">
          <cell r="D203">
            <v>440674</v>
          </cell>
          <cell r="E203">
            <v>216948</v>
          </cell>
          <cell r="F203">
            <v>20339</v>
          </cell>
        </row>
        <row r="213">
          <cell r="D213">
            <v>445943</v>
          </cell>
          <cell r="E213">
            <v>1664528</v>
          </cell>
          <cell r="F213">
            <v>0</v>
          </cell>
        </row>
        <row r="214">
          <cell r="D214">
            <v>138291</v>
          </cell>
        </row>
        <row r="215">
          <cell r="D215">
            <v>0</v>
          </cell>
          <cell r="E215">
            <v>632606</v>
          </cell>
          <cell r="F215">
            <v>0</v>
          </cell>
        </row>
        <row r="216">
          <cell r="D216">
            <v>129030</v>
          </cell>
        </row>
        <row r="217">
          <cell r="D217">
            <v>31711</v>
          </cell>
          <cell r="E217">
            <v>49583</v>
          </cell>
          <cell r="F217">
            <v>21597</v>
          </cell>
        </row>
        <row r="218">
          <cell r="D218">
            <v>205431</v>
          </cell>
        </row>
        <row r="219">
          <cell r="D219">
            <v>291235</v>
          </cell>
          <cell r="E219">
            <v>380928</v>
          </cell>
          <cell r="F219">
            <v>17801</v>
          </cell>
        </row>
        <row r="220">
          <cell r="D220">
            <v>76517</v>
          </cell>
          <cell r="E220">
            <v>245122</v>
          </cell>
          <cell r="F220">
            <v>0</v>
          </cell>
        </row>
        <row r="221">
          <cell r="D221">
            <v>127668</v>
          </cell>
        </row>
        <row r="222">
          <cell r="D222">
            <v>63041</v>
          </cell>
        </row>
        <row r="223">
          <cell r="D223">
            <v>142285</v>
          </cell>
          <cell r="E223">
            <v>131619</v>
          </cell>
          <cell r="F223">
            <v>3131</v>
          </cell>
        </row>
        <row r="224">
          <cell r="D224">
            <v>86185</v>
          </cell>
          <cell r="E224">
            <v>268799</v>
          </cell>
          <cell r="F224">
            <v>14906</v>
          </cell>
        </row>
        <row r="225">
          <cell r="D225">
            <v>111261</v>
          </cell>
          <cell r="E225">
            <v>187489</v>
          </cell>
          <cell r="F225">
            <v>7753</v>
          </cell>
        </row>
        <row r="226">
          <cell r="D226">
            <v>440674</v>
          </cell>
          <cell r="E226">
            <v>216948</v>
          </cell>
          <cell r="F226">
            <v>20339</v>
          </cell>
        </row>
        <row r="236">
          <cell r="D236">
            <v>449481</v>
          </cell>
          <cell r="E236">
            <v>1679750</v>
          </cell>
          <cell r="F236">
            <v>0</v>
          </cell>
        </row>
        <row r="237">
          <cell r="D237">
            <v>137722</v>
          </cell>
        </row>
        <row r="238">
          <cell r="D238">
            <v>0</v>
          </cell>
          <cell r="E238">
            <v>667382</v>
          </cell>
          <cell r="F238">
            <v>0</v>
          </cell>
        </row>
        <row r="239">
          <cell r="D239">
            <v>150289</v>
          </cell>
        </row>
        <row r="240">
          <cell r="D240">
            <v>33890</v>
          </cell>
          <cell r="E240">
            <v>53300</v>
          </cell>
          <cell r="F240">
            <v>23162</v>
          </cell>
        </row>
        <row r="241">
          <cell r="D241">
            <v>206367</v>
          </cell>
        </row>
        <row r="242">
          <cell r="D242">
            <v>296728</v>
          </cell>
          <cell r="E242">
            <v>388116</v>
          </cell>
          <cell r="F242">
            <v>18138</v>
          </cell>
        </row>
        <row r="243">
          <cell r="D243">
            <v>80422</v>
          </cell>
          <cell r="E243">
            <v>248775</v>
          </cell>
          <cell r="F243">
            <v>0</v>
          </cell>
        </row>
        <row r="244">
          <cell r="D244">
            <v>129939</v>
          </cell>
        </row>
        <row r="245">
          <cell r="D245">
            <v>87629</v>
          </cell>
        </row>
        <row r="246">
          <cell r="D246">
            <v>226430</v>
          </cell>
          <cell r="E246">
            <v>169382</v>
          </cell>
          <cell r="F246">
            <v>3676</v>
          </cell>
        </row>
        <row r="247">
          <cell r="D247">
            <v>159374</v>
          </cell>
          <cell r="E247">
            <v>396361</v>
          </cell>
          <cell r="F247">
            <v>20455</v>
          </cell>
        </row>
        <row r="248">
          <cell r="D248">
            <v>115127</v>
          </cell>
          <cell r="E248">
            <v>194003</v>
          </cell>
          <cell r="F248">
            <v>8024</v>
          </cell>
        </row>
        <row r="249">
          <cell r="D249">
            <v>440674</v>
          </cell>
          <cell r="E249">
            <v>216948</v>
          </cell>
          <cell r="F249">
            <v>20339</v>
          </cell>
        </row>
        <row r="282">
          <cell r="D282">
            <v>610005</v>
          </cell>
          <cell r="E282">
            <v>4778731</v>
          </cell>
          <cell r="F282">
            <v>0</v>
          </cell>
        </row>
        <row r="283">
          <cell r="D283">
            <v>150436</v>
          </cell>
        </row>
        <row r="284">
          <cell r="D284">
            <v>0</v>
          </cell>
          <cell r="E284">
            <v>1695780</v>
          </cell>
          <cell r="F284">
            <v>0</v>
          </cell>
        </row>
        <row r="285">
          <cell r="D285">
            <v>123557</v>
          </cell>
        </row>
        <row r="286">
          <cell r="D286">
            <v>43612</v>
          </cell>
          <cell r="E286">
            <v>68878</v>
          </cell>
          <cell r="F286">
            <v>29615</v>
          </cell>
        </row>
        <row r="287">
          <cell r="D287">
            <v>239410</v>
          </cell>
        </row>
        <row r="288">
          <cell r="D288">
            <v>466352</v>
          </cell>
          <cell r="E288">
            <v>609939</v>
          </cell>
          <cell r="F288">
            <v>29071</v>
          </cell>
        </row>
        <row r="289">
          <cell r="D289">
            <v>370058</v>
          </cell>
          <cell r="E289">
            <v>515266</v>
          </cell>
          <cell r="F289">
            <v>11570</v>
          </cell>
        </row>
        <row r="290">
          <cell r="D290">
            <v>241404</v>
          </cell>
        </row>
        <row r="291">
          <cell r="D291">
            <v>87786</v>
          </cell>
        </row>
        <row r="292">
          <cell r="D292">
            <v>234772</v>
          </cell>
          <cell r="E292">
            <v>218250</v>
          </cell>
          <cell r="F292">
            <v>5874</v>
          </cell>
        </row>
        <row r="293">
          <cell r="D293">
            <v>150726</v>
          </cell>
          <cell r="E293">
            <v>542658</v>
          </cell>
          <cell r="F293">
            <v>35113</v>
          </cell>
        </row>
        <row r="294">
          <cell r="D294">
            <v>170758</v>
          </cell>
          <cell r="E294">
            <v>287747</v>
          </cell>
          <cell r="F294">
            <v>11901</v>
          </cell>
        </row>
        <row r="295">
          <cell r="D295">
            <v>593289</v>
          </cell>
          <cell r="E295">
            <v>292080</v>
          </cell>
          <cell r="F295">
            <v>27383</v>
          </cell>
        </row>
        <row r="305">
          <cell r="D305">
            <v>746799</v>
          </cell>
          <cell r="E305">
            <v>3169297</v>
          </cell>
          <cell r="F305">
            <v>0</v>
          </cell>
        </row>
        <row r="306">
          <cell r="D306">
            <v>169415</v>
          </cell>
        </row>
        <row r="307">
          <cell r="D307">
            <v>0</v>
          </cell>
          <cell r="E307">
            <v>2321762</v>
          </cell>
          <cell r="F307">
            <v>0</v>
          </cell>
        </row>
        <row r="308">
          <cell r="D308">
            <v>158288</v>
          </cell>
        </row>
        <row r="309">
          <cell r="D309">
            <v>44067</v>
          </cell>
          <cell r="E309">
            <v>69803</v>
          </cell>
          <cell r="F309">
            <v>30143</v>
          </cell>
        </row>
        <row r="310">
          <cell r="D310">
            <v>296145</v>
          </cell>
        </row>
        <row r="311">
          <cell r="D311">
            <v>446592</v>
          </cell>
          <cell r="E311">
            <v>584135</v>
          </cell>
          <cell r="F311">
            <v>27297</v>
          </cell>
        </row>
        <row r="312">
          <cell r="D312">
            <v>335632</v>
          </cell>
          <cell r="E312">
            <v>569096</v>
          </cell>
          <cell r="F312">
            <v>19879</v>
          </cell>
        </row>
        <row r="313">
          <cell r="D313">
            <v>254104</v>
          </cell>
        </row>
        <row r="314">
          <cell r="D314">
            <v>110686</v>
          </cell>
        </row>
        <row r="315">
          <cell r="D315">
            <v>359324</v>
          </cell>
          <cell r="E315">
            <v>261069</v>
          </cell>
          <cell r="F315">
            <v>10665</v>
          </cell>
        </row>
        <row r="316">
          <cell r="D316">
            <v>150727</v>
          </cell>
          <cell r="E316">
            <v>542658</v>
          </cell>
          <cell r="F316">
            <v>35112</v>
          </cell>
        </row>
        <row r="317">
          <cell r="D317">
            <v>228750</v>
          </cell>
          <cell r="E317">
            <v>385472</v>
          </cell>
          <cell r="F317">
            <v>15944</v>
          </cell>
        </row>
        <row r="318">
          <cell r="D318">
            <v>593289</v>
          </cell>
          <cell r="E318">
            <v>292080</v>
          </cell>
          <cell r="F318">
            <v>27383</v>
          </cell>
        </row>
        <row r="328">
          <cell r="D328">
            <v>832222</v>
          </cell>
          <cell r="E328">
            <v>3534108</v>
          </cell>
          <cell r="F328">
            <v>0</v>
          </cell>
        </row>
        <row r="329">
          <cell r="D329">
            <v>175326</v>
          </cell>
        </row>
        <row r="330">
          <cell r="D330">
            <v>0</v>
          </cell>
          <cell r="E330">
            <v>2139598</v>
          </cell>
          <cell r="F330">
            <v>0</v>
          </cell>
        </row>
        <row r="331">
          <cell r="D331">
            <v>214278</v>
          </cell>
        </row>
        <row r="332">
          <cell r="D332">
            <v>76365</v>
          </cell>
          <cell r="E332">
            <v>122434</v>
          </cell>
          <cell r="F332">
            <v>53484</v>
          </cell>
        </row>
        <row r="333">
          <cell r="D333">
            <v>346334</v>
          </cell>
        </row>
        <row r="334">
          <cell r="D334">
            <v>525895</v>
          </cell>
          <cell r="E334">
            <v>688025</v>
          </cell>
          <cell r="F334">
            <v>32276</v>
          </cell>
        </row>
        <row r="335">
          <cell r="D335">
            <v>335726</v>
          </cell>
          <cell r="E335">
            <v>569095</v>
          </cell>
          <cell r="F335">
            <v>19786</v>
          </cell>
        </row>
        <row r="336">
          <cell r="D336">
            <v>271039</v>
          </cell>
        </row>
        <row r="337">
          <cell r="D337">
            <v>131839</v>
          </cell>
        </row>
        <row r="338">
          <cell r="D338">
            <v>439589</v>
          </cell>
          <cell r="E338">
            <v>320699</v>
          </cell>
          <cell r="F338">
            <v>13227</v>
          </cell>
        </row>
        <row r="339">
          <cell r="D339">
            <v>150726</v>
          </cell>
          <cell r="E339">
            <v>542658</v>
          </cell>
          <cell r="F339">
            <v>35114</v>
          </cell>
        </row>
        <row r="340">
          <cell r="D340">
            <v>273855</v>
          </cell>
          <cell r="E340">
            <v>461481</v>
          </cell>
          <cell r="F340">
            <v>19088</v>
          </cell>
        </row>
        <row r="341">
          <cell r="D341">
            <v>593289</v>
          </cell>
          <cell r="E341">
            <v>292080</v>
          </cell>
          <cell r="F341">
            <v>27383</v>
          </cell>
        </row>
        <row r="342">
          <cell r="D342">
            <v>100940</v>
          </cell>
        </row>
        <row r="343">
          <cell r="D343">
            <v>100043</v>
          </cell>
        </row>
        <row r="344">
          <cell r="D344">
            <v>41245</v>
          </cell>
        </row>
        <row r="345">
          <cell r="D345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448"/>
  <sheetViews>
    <sheetView tabSelected="1" zoomScale="90" zoomScaleNormal="90" workbookViewId="0">
      <selection activeCell="D433" sqref="D433"/>
    </sheetView>
  </sheetViews>
  <sheetFormatPr defaultRowHeight="15" x14ac:dyDescent="0.25"/>
  <cols>
    <col min="1" max="1" width="3.5703125" style="123" customWidth="1"/>
    <col min="2" max="2" width="26" style="123" customWidth="1"/>
    <col min="3" max="3" width="16" style="124" customWidth="1"/>
    <col min="4" max="4" width="13.85546875" style="124" customWidth="1"/>
    <col min="5" max="5" width="14.42578125" style="124" customWidth="1"/>
    <col min="6" max="6" width="13" style="124" customWidth="1"/>
    <col min="7" max="7" width="15.42578125" style="124" customWidth="1"/>
    <col min="8" max="8" width="15.28515625" style="125" customWidth="1"/>
    <col min="9" max="9" width="16.28515625" style="125" customWidth="1"/>
    <col min="10" max="10" width="12.85546875" style="125" customWidth="1"/>
    <col min="11" max="11" width="15.42578125" style="125" customWidth="1"/>
    <col min="12" max="12" width="14" style="125" customWidth="1"/>
    <col min="13" max="13" width="14.140625" style="125" customWidth="1"/>
    <col min="14" max="14" width="11.42578125" style="125" customWidth="1"/>
    <col min="15" max="15" width="14.85546875" style="125" customWidth="1"/>
    <col min="16" max="16384" width="9.140625" style="124"/>
  </cols>
  <sheetData>
    <row r="1" spans="1:15" ht="15.75" x14ac:dyDescent="0.25">
      <c r="O1" s="120" t="s">
        <v>133</v>
      </c>
    </row>
    <row r="2" spans="1:15" ht="15.75" x14ac:dyDescent="0.25">
      <c r="O2" s="120" t="s">
        <v>111</v>
      </c>
    </row>
    <row r="3" spans="1:15" ht="15.75" x14ac:dyDescent="0.25">
      <c r="O3" s="120" t="s">
        <v>134</v>
      </c>
    </row>
    <row r="5" spans="1:15" ht="22.5" customHeight="1" x14ac:dyDescent="0.25">
      <c r="A5" s="150" t="s">
        <v>112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</row>
    <row r="6" spans="1:15" s="126" customFormat="1" ht="19.5" customHeight="1" x14ac:dyDescent="0.25">
      <c r="A6" s="144" t="s">
        <v>17</v>
      </c>
      <c r="B6" s="144" t="s">
        <v>33</v>
      </c>
      <c r="C6" s="144" t="s">
        <v>113</v>
      </c>
      <c r="D6" s="144" t="s">
        <v>69</v>
      </c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</row>
    <row r="7" spans="1:15" s="126" customFormat="1" ht="39" customHeight="1" x14ac:dyDescent="0.25">
      <c r="A7" s="144"/>
      <c r="B7" s="144"/>
      <c r="C7" s="144"/>
      <c r="D7" s="146" t="s">
        <v>36</v>
      </c>
      <c r="E7" s="146"/>
      <c r="F7" s="146"/>
      <c r="G7" s="146"/>
      <c r="H7" s="147" t="s">
        <v>37</v>
      </c>
      <c r="I7" s="148"/>
      <c r="J7" s="148"/>
      <c r="K7" s="149"/>
      <c r="L7" s="147" t="s">
        <v>38</v>
      </c>
      <c r="M7" s="148"/>
      <c r="N7" s="148"/>
      <c r="O7" s="149"/>
    </row>
    <row r="8" spans="1:15" s="126" customFormat="1" ht="63.75" customHeight="1" x14ac:dyDescent="0.25">
      <c r="A8" s="144"/>
      <c r="B8" s="144"/>
      <c r="C8" s="144"/>
      <c r="D8" s="127" t="s">
        <v>66</v>
      </c>
      <c r="E8" s="127" t="s">
        <v>67</v>
      </c>
      <c r="F8" s="127" t="s">
        <v>68</v>
      </c>
      <c r="G8" s="127" t="s">
        <v>70</v>
      </c>
      <c r="H8" s="128" t="s">
        <v>66</v>
      </c>
      <c r="I8" s="128" t="s">
        <v>67</v>
      </c>
      <c r="J8" s="128" t="s">
        <v>68</v>
      </c>
      <c r="K8" s="128" t="s">
        <v>71</v>
      </c>
      <c r="L8" s="128" t="s">
        <v>66</v>
      </c>
      <c r="M8" s="128" t="s">
        <v>67</v>
      </c>
      <c r="N8" s="128" t="s">
        <v>68</v>
      </c>
      <c r="O8" s="128" t="s">
        <v>72</v>
      </c>
    </row>
    <row r="9" spans="1:15" s="131" customFormat="1" ht="19.5" customHeight="1" x14ac:dyDescent="0.25">
      <c r="A9" s="129">
        <v>1</v>
      </c>
      <c r="B9" s="129">
        <v>2</v>
      </c>
      <c r="C9" s="129">
        <v>3</v>
      </c>
      <c r="D9" s="129">
        <v>4</v>
      </c>
      <c r="E9" s="129">
        <v>5</v>
      </c>
      <c r="F9" s="129">
        <v>6</v>
      </c>
      <c r="G9" s="129">
        <v>7</v>
      </c>
      <c r="H9" s="130">
        <v>8</v>
      </c>
      <c r="I9" s="130">
        <v>9</v>
      </c>
      <c r="J9" s="130">
        <v>10</v>
      </c>
      <c r="K9" s="130">
        <v>11</v>
      </c>
      <c r="L9" s="130">
        <v>12</v>
      </c>
      <c r="M9" s="130">
        <v>13</v>
      </c>
      <c r="N9" s="130">
        <v>14</v>
      </c>
      <c r="O9" s="130">
        <v>15</v>
      </c>
    </row>
    <row r="10" spans="1:15" s="131" customFormat="1" ht="34.5" customHeight="1" x14ac:dyDescent="0.3">
      <c r="A10" s="129" t="s">
        <v>16</v>
      </c>
      <c r="B10" s="132" t="s">
        <v>15</v>
      </c>
      <c r="C10" s="121">
        <v>5389591</v>
      </c>
      <c r="D10" s="121">
        <v>186839</v>
      </c>
      <c r="E10" s="121">
        <v>438122</v>
      </c>
      <c r="F10" s="121">
        <v>7669</v>
      </c>
      <c r="G10" s="121">
        <v>632630</v>
      </c>
      <c r="H10" s="121">
        <v>1015758</v>
      </c>
      <c r="I10" s="121">
        <v>2381863</v>
      </c>
      <c r="J10" s="121">
        <v>41692</v>
      </c>
      <c r="K10" s="122">
        <v>3439313</v>
      </c>
      <c r="L10" s="121">
        <v>389151</v>
      </c>
      <c r="M10" s="121">
        <v>912524</v>
      </c>
      <c r="N10" s="121">
        <v>15973</v>
      </c>
      <c r="O10" s="122">
        <v>1317648</v>
      </c>
    </row>
    <row r="11" spans="1:15" ht="33.75" customHeight="1" x14ac:dyDescent="0.3">
      <c r="A11" s="133" t="s">
        <v>24</v>
      </c>
      <c r="B11" s="132" t="s">
        <v>14</v>
      </c>
      <c r="C11" s="121">
        <v>277469</v>
      </c>
      <c r="D11" s="121">
        <v>18344</v>
      </c>
      <c r="E11" s="121">
        <v>14072</v>
      </c>
      <c r="F11" s="121">
        <v>0</v>
      </c>
      <c r="G11" s="121">
        <v>32416</v>
      </c>
      <c r="H11" s="121">
        <v>95735</v>
      </c>
      <c r="I11" s="121">
        <v>73441</v>
      </c>
      <c r="J11" s="121">
        <v>0</v>
      </c>
      <c r="K11" s="122">
        <v>169176</v>
      </c>
      <c r="L11" s="121">
        <v>42938</v>
      </c>
      <c r="M11" s="121">
        <v>32939</v>
      </c>
      <c r="N11" s="121">
        <v>0</v>
      </c>
      <c r="O11" s="122">
        <v>75877</v>
      </c>
    </row>
    <row r="12" spans="1:15" ht="32.25" customHeight="1" x14ac:dyDescent="0.3">
      <c r="A12" s="133" t="s">
        <v>23</v>
      </c>
      <c r="B12" s="132" t="s">
        <v>13</v>
      </c>
      <c r="C12" s="121">
        <v>2755005</v>
      </c>
      <c r="D12" s="121">
        <v>0</v>
      </c>
      <c r="E12" s="121">
        <v>249466</v>
      </c>
      <c r="F12" s="121">
        <v>0</v>
      </c>
      <c r="G12" s="121">
        <v>249466</v>
      </c>
      <c r="H12" s="121">
        <v>0</v>
      </c>
      <c r="I12" s="121">
        <v>1893239</v>
      </c>
      <c r="J12" s="121">
        <v>0</v>
      </c>
      <c r="K12" s="122">
        <v>1893239</v>
      </c>
      <c r="L12" s="121">
        <v>0</v>
      </c>
      <c r="M12" s="121">
        <v>612300</v>
      </c>
      <c r="N12" s="121">
        <v>0</v>
      </c>
      <c r="O12" s="122">
        <v>612300</v>
      </c>
    </row>
    <row r="13" spans="1:15" ht="28.5" customHeight="1" x14ac:dyDescent="0.3">
      <c r="A13" s="133" t="s">
        <v>22</v>
      </c>
      <c r="B13" s="132" t="s">
        <v>12</v>
      </c>
      <c r="C13" s="121">
        <v>254860</v>
      </c>
      <c r="D13" s="121">
        <v>26090</v>
      </c>
      <c r="E13" s="121">
        <v>0</v>
      </c>
      <c r="F13" s="121">
        <v>0</v>
      </c>
      <c r="G13" s="121">
        <v>26090</v>
      </c>
      <c r="H13" s="121">
        <v>170315</v>
      </c>
      <c r="I13" s="121">
        <v>0</v>
      </c>
      <c r="J13" s="121">
        <v>0</v>
      </c>
      <c r="K13" s="122">
        <v>170315</v>
      </c>
      <c r="L13" s="121">
        <v>58455</v>
      </c>
      <c r="M13" s="121">
        <v>0</v>
      </c>
      <c r="N13" s="121">
        <v>0</v>
      </c>
      <c r="O13" s="122">
        <v>58455</v>
      </c>
    </row>
    <row r="14" spans="1:15" ht="48" customHeight="1" x14ac:dyDescent="0.3">
      <c r="A14" s="133" t="s">
        <v>21</v>
      </c>
      <c r="B14" s="132" t="s">
        <v>11</v>
      </c>
      <c r="C14" s="121">
        <v>0</v>
      </c>
      <c r="D14" s="121">
        <v>0</v>
      </c>
      <c r="E14" s="121">
        <v>0</v>
      </c>
      <c r="F14" s="121">
        <v>0</v>
      </c>
      <c r="G14" s="121">
        <v>0</v>
      </c>
      <c r="H14" s="121">
        <v>0</v>
      </c>
      <c r="I14" s="121">
        <v>0</v>
      </c>
      <c r="J14" s="121">
        <v>0</v>
      </c>
      <c r="K14" s="122">
        <v>0</v>
      </c>
      <c r="L14" s="121">
        <v>0</v>
      </c>
      <c r="M14" s="121">
        <v>0</v>
      </c>
      <c r="N14" s="121">
        <v>0</v>
      </c>
      <c r="O14" s="122">
        <v>0</v>
      </c>
    </row>
    <row r="15" spans="1:15" ht="21.75" customHeight="1" x14ac:dyDescent="0.3">
      <c r="A15" s="133" t="s">
        <v>20</v>
      </c>
      <c r="B15" s="132" t="s">
        <v>34</v>
      </c>
      <c r="C15" s="121">
        <v>194710</v>
      </c>
      <c r="D15" s="121">
        <v>22183</v>
      </c>
      <c r="E15" s="121">
        <v>0</v>
      </c>
      <c r="F15" s="121">
        <v>0</v>
      </c>
      <c r="G15" s="121">
        <v>22183</v>
      </c>
      <c r="H15" s="121">
        <v>115773</v>
      </c>
      <c r="I15" s="121">
        <v>0</v>
      </c>
      <c r="J15" s="121">
        <v>0</v>
      </c>
      <c r="K15" s="122">
        <v>115773</v>
      </c>
      <c r="L15" s="121">
        <v>56754</v>
      </c>
      <c r="M15" s="121">
        <v>0</v>
      </c>
      <c r="N15" s="121">
        <v>0</v>
      </c>
      <c r="O15" s="122">
        <v>56754</v>
      </c>
    </row>
    <row r="16" spans="1:15" ht="35.25" customHeight="1" x14ac:dyDescent="0.3">
      <c r="A16" s="133" t="s">
        <v>19</v>
      </c>
      <c r="B16" s="132" t="s">
        <v>10</v>
      </c>
      <c r="C16" s="121">
        <v>888082</v>
      </c>
      <c r="D16" s="121">
        <v>28411</v>
      </c>
      <c r="E16" s="121">
        <v>36775</v>
      </c>
      <c r="F16" s="121">
        <v>1988</v>
      </c>
      <c r="G16" s="121">
        <v>67174</v>
      </c>
      <c r="H16" s="121">
        <v>257934</v>
      </c>
      <c r="I16" s="121">
        <v>333866</v>
      </c>
      <c r="J16" s="121">
        <v>18046</v>
      </c>
      <c r="K16" s="122">
        <v>609846</v>
      </c>
      <c r="L16" s="121">
        <v>89268</v>
      </c>
      <c r="M16" s="121">
        <v>115548</v>
      </c>
      <c r="N16" s="121">
        <v>6246</v>
      </c>
      <c r="O16" s="122">
        <v>211062</v>
      </c>
    </row>
    <row r="17" spans="1:15" ht="19.5" customHeight="1" x14ac:dyDescent="0.3">
      <c r="A17" s="133" t="s">
        <v>18</v>
      </c>
      <c r="B17" s="132" t="s">
        <v>9</v>
      </c>
      <c r="C17" s="121">
        <v>739756</v>
      </c>
      <c r="D17" s="121">
        <v>179822</v>
      </c>
      <c r="E17" s="121">
        <v>50708</v>
      </c>
      <c r="F17" s="121">
        <v>2290</v>
      </c>
      <c r="G17" s="121">
        <v>232820</v>
      </c>
      <c r="H17" s="121">
        <v>385540</v>
      </c>
      <c r="I17" s="121">
        <v>108719</v>
      </c>
      <c r="J17" s="121">
        <v>4910</v>
      </c>
      <c r="K17" s="122">
        <v>499169</v>
      </c>
      <c r="L17" s="121">
        <v>5140</v>
      </c>
      <c r="M17" s="121">
        <v>1450</v>
      </c>
      <c r="N17" s="121">
        <v>1177</v>
      </c>
      <c r="O17" s="122">
        <v>7767</v>
      </c>
    </row>
    <row r="18" spans="1:15" ht="19.5" customHeight="1" x14ac:dyDescent="0.3">
      <c r="A18" s="133" t="s">
        <v>25</v>
      </c>
      <c r="B18" s="132" t="s">
        <v>8</v>
      </c>
      <c r="C18" s="121">
        <v>2157525</v>
      </c>
      <c r="D18" s="121">
        <v>11240</v>
      </c>
      <c r="E18" s="121">
        <v>51199</v>
      </c>
      <c r="F18" s="121">
        <v>0</v>
      </c>
      <c r="G18" s="121">
        <v>62439</v>
      </c>
      <c r="H18" s="121">
        <v>217724</v>
      </c>
      <c r="I18" s="121">
        <v>991763</v>
      </c>
      <c r="J18" s="121">
        <v>0</v>
      </c>
      <c r="K18" s="122">
        <v>1209487</v>
      </c>
      <c r="L18" s="121">
        <v>159420</v>
      </c>
      <c r="M18" s="121">
        <v>726179</v>
      </c>
      <c r="N18" s="121">
        <v>0</v>
      </c>
      <c r="O18" s="122">
        <v>885599</v>
      </c>
    </row>
    <row r="19" spans="1:15" ht="19.5" customHeight="1" x14ac:dyDescent="0.3">
      <c r="A19" s="133" t="s">
        <v>26</v>
      </c>
      <c r="B19" s="132" t="s">
        <v>7</v>
      </c>
      <c r="C19" s="121">
        <v>7605062</v>
      </c>
      <c r="D19" s="121">
        <v>15735</v>
      </c>
      <c r="E19" s="121">
        <v>66248</v>
      </c>
      <c r="F19" s="121">
        <v>0</v>
      </c>
      <c r="G19" s="121">
        <v>81983</v>
      </c>
      <c r="H19" s="121">
        <v>1384487</v>
      </c>
      <c r="I19" s="121">
        <v>5829066</v>
      </c>
      <c r="J19" s="121">
        <v>0</v>
      </c>
      <c r="K19" s="122">
        <v>7213553</v>
      </c>
      <c r="L19" s="121">
        <v>59407</v>
      </c>
      <c r="M19" s="121">
        <v>250119</v>
      </c>
      <c r="N19" s="121">
        <v>0</v>
      </c>
      <c r="O19" s="122">
        <v>309526</v>
      </c>
    </row>
    <row r="20" spans="1:15" ht="19.5" customHeight="1" x14ac:dyDescent="0.3">
      <c r="A20" s="133" t="s">
        <v>27</v>
      </c>
      <c r="B20" s="132" t="s">
        <v>6</v>
      </c>
      <c r="C20" s="121">
        <v>1842344</v>
      </c>
      <c r="D20" s="121">
        <v>2903</v>
      </c>
      <c r="E20" s="121">
        <v>2554</v>
      </c>
      <c r="F20" s="121">
        <v>760</v>
      </c>
      <c r="G20" s="121">
        <v>6217</v>
      </c>
      <c r="H20" s="121">
        <v>1151902</v>
      </c>
      <c r="I20" s="121">
        <v>627529</v>
      </c>
      <c r="J20" s="121">
        <v>51125</v>
      </c>
      <c r="K20" s="122">
        <v>1830556</v>
      </c>
      <c r="L20" s="121">
        <v>2729</v>
      </c>
      <c r="M20" s="121">
        <v>2361</v>
      </c>
      <c r="N20" s="121">
        <v>481</v>
      </c>
      <c r="O20" s="122">
        <v>5571</v>
      </c>
    </row>
    <row r="21" spans="1:15" ht="19.5" customHeight="1" x14ac:dyDescent="0.3">
      <c r="A21" s="133" t="s">
        <v>28</v>
      </c>
      <c r="B21" s="132" t="s">
        <v>5</v>
      </c>
      <c r="C21" s="121">
        <v>735549</v>
      </c>
      <c r="D21" s="121">
        <v>60196</v>
      </c>
      <c r="E21" s="121">
        <v>45985</v>
      </c>
      <c r="F21" s="121">
        <v>1712</v>
      </c>
      <c r="G21" s="121">
        <v>107893</v>
      </c>
      <c r="H21" s="121">
        <v>345568</v>
      </c>
      <c r="I21" s="121">
        <v>263986</v>
      </c>
      <c r="J21" s="121">
        <v>9830</v>
      </c>
      <c r="K21" s="122">
        <v>619384</v>
      </c>
      <c r="L21" s="121">
        <v>4459</v>
      </c>
      <c r="M21" s="121">
        <v>3406</v>
      </c>
      <c r="N21" s="121">
        <v>407</v>
      </c>
      <c r="O21" s="122">
        <v>8272</v>
      </c>
    </row>
    <row r="22" spans="1:15" ht="19.5" customHeight="1" x14ac:dyDescent="0.3">
      <c r="A22" s="133" t="s">
        <v>29</v>
      </c>
      <c r="B22" s="132" t="s">
        <v>4</v>
      </c>
      <c r="C22" s="121">
        <v>695731</v>
      </c>
      <c r="D22" s="121">
        <v>12283</v>
      </c>
      <c r="E22" s="121">
        <v>15310</v>
      </c>
      <c r="F22" s="121">
        <v>0</v>
      </c>
      <c r="G22" s="121">
        <v>27593</v>
      </c>
      <c r="H22" s="121">
        <v>295629</v>
      </c>
      <c r="I22" s="121">
        <v>368488</v>
      </c>
      <c r="J22" s="121">
        <v>0</v>
      </c>
      <c r="K22" s="122">
        <v>664117</v>
      </c>
      <c r="L22" s="121">
        <v>1790</v>
      </c>
      <c r="M22" s="121">
        <v>2231</v>
      </c>
      <c r="N22" s="121">
        <v>0</v>
      </c>
      <c r="O22" s="122">
        <v>4021</v>
      </c>
    </row>
    <row r="23" spans="1:15" ht="19.5" customHeight="1" x14ac:dyDescent="0.3">
      <c r="A23" s="133">
        <v>14</v>
      </c>
      <c r="B23" s="132" t="s">
        <v>3</v>
      </c>
      <c r="C23" s="121">
        <v>26654</v>
      </c>
      <c r="D23" s="121">
        <v>1342</v>
      </c>
      <c r="E23" s="121">
        <v>133</v>
      </c>
      <c r="F23" s="121">
        <v>0</v>
      </c>
      <c r="G23" s="121">
        <v>1475</v>
      </c>
      <c r="H23" s="121">
        <v>17993</v>
      </c>
      <c r="I23" s="121">
        <v>1785</v>
      </c>
      <c r="J23" s="121">
        <v>0</v>
      </c>
      <c r="K23" s="122">
        <v>19778</v>
      </c>
      <c r="L23" s="121">
        <v>4914</v>
      </c>
      <c r="M23" s="121">
        <v>487</v>
      </c>
      <c r="N23" s="121">
        <v>0</v>
      </c>
      <c r="O23" s="122">
        <v>5401</v>
      </c>
    </row>
    <row r="24" spans="1:15" ht="103.5" customHeight="1" x14ac:dyDescent="0.3">
      <c r="A24" s="133" t="s">
        <v>30</v>
      </c>
      <c r="B24" s="132" t="s">
        <v>130</v>
      </c>
      <c r="C24" s="121">
        <v>129449</v>
      </c>
      <c r="D24" s="121">
        <v>3780</v>
      </c>
      <c r="E24" s="121">
        <v>0</v>
      </c>
      <c r="F24" s="121">
        <v>0</v>
      </c>
      <c r="G24" s="121">
        <v>3780</v>
      </c>
      <c r="H24" s="121">
        <v>116540</v>
      </c>
      <c r="I24" s="121">
        <v>0</v>
      </c>
      <c r="J24" s="121">
        <v>0</v>
      </c>
      <c r="K24" s="122">
        <v>116540</v>
      </c>
      <c r="L24" s="121">
        <v>9129</v>
      </c>
      <c r="M24" s="121">
        <v>0</v>
      </c>
      <c r="N24" s="121">
        <v>0</v>
      </c>
      <c r="O24" s="122">
        <v>9129</v>
      </c>
    </row>
    <row r="25" spans="1:15" ht="104.25" customHeight="1" x14ac:dyDescent="0.3">
      <c r="A25" s="133" t="s">
        <v>31</v>
      </c>
      <c r="B25" s="132" t="s">
        <v>131</v>
      </c>
      <c r="C25" s="121">
        <v>119959</v>
      </c>
      <c r="D25" s="121">
        <v>8762</v>
      </c>
      <c r="E25" s="121">
        <v>0</v>
      </c>
      <c r="F25" s="121">
        <v>0</v>
      </c>
      <c r="G25" s="121">
        <v>8762</v>
      </c>
      <c r="H25" s="121">
        <v>107469</v>
      </c>
      <c r="I25" s="121">
        <v>0</v>
      </c>
      <c r="J25" s="121">
        <v>0</v>
      </c>
      <c r="K25" s="122">
        <v>107469</v>
      </c>
      <c r="L25" s="121">
        <v>3728</v>
      </c>
      <c r="M25" s="121">
        <v>0</v>
      </c>
      <c r="N25" s="121">
        <v>0</v>
      </c>
      <c r="O25" s="122">
        <v>3728</v>
      </c>
    </row>
    <row r="26" spans="1:15" ht="19.5" customHeight="1" x14ac:dyDescent="0.3">
      <c r="A26" s="133" t="s">
        <v>32</v>
      </c>
      <c r="B26" s="132" t="s">
        <v>73</v>
      </c>
      <c r="C26" s="121">
        <v>57438</v>
      </c>
      <c r="D26" s="121">
        <v>8014</v>
      </c>
      <c r="E26" s="121">
        <v>0</v>
      </c>
      <c r="F26" s="121">
        <v>0</v>
      </c>
      <c r="G26" s="121">
        <v>8014</v>
      </c>
      <c r="H26" s="121">
        <v>28681</v>
      </c>
      <c r="I26" s="121">
        <v>0</v>
      </c>
      <c r="J26" s="121">
        <v>0</v>
      </c>
      <c r="K26" s="122">
        <v>28681</v>
      </c>
      <c r="L26" s="121">
        <v>20743</v>
      </c>
      <c r="M26" s="121">
        <v>0</v>
      </c>
      <c r="N26" s="121">
        <v>0</v>
      </c>
      <c r="O26" s="122">
        <v>20743</v>
      </c>
    </row>
    <row r="27" spans="1:15" ht="19.5" customHeight="1" x14ac:dyDescent="0.3">
      <c r="A27" s="133" t="s">
        <v>90</v>
      </c>
      <c r="B27" s="132" t="s">
        <v>132</v>
      </c>
      <c r="C27" s="121">
        <v>29572</v>
      </c>
      <c r="D27" s="121">
        <v>0</v>
      </c>
      <c r="E27" s="121">
        <v>3324</v>
      </c>
      <c r="F27" s="121">
        <v>0</v>
      </c>
      <c r="G27" s="121">
        <v>3324</v>
      </c>
      <c r="H27" s="121">
        <v>0</v>
      </c>
      <c r="I27" s="121">
        <v>17479</v>
      </c>
      <c r="J27" s="121">
        <v>0</v>
      </c>
      <c r="K27" s="122">
        <v>17479</v>
      </c>
      <c r="L27" s="121">
        <v>0</v>
      </c>
      <c r="M27" s="121">
        <v>8769</v>
      </c>
      <c r="N27" s="121">
        <v>0</v>
      </c>
      <c r="O27" s="122">
        <v>8769</v>
      </c>
    </row>
    <row r="28" spans="1:15" ht="19.5" customHeight="1" x14ac:dyDescent="0.25">
      <c r="A28" s="134"/>
      <c r="B28" s="134" t="s">
        <v>0</v>
      </c>
      <c r="C28" s="135">
        <v>23898756</v>
      </c>
      <c r="D28" s="135">
        <v>585944</v>
      </c>
      <c r="E28" s="135">
        <v>973896</v>
      </c>
      <c r="F28" s="135">
        <v>14419</v>
      </c>
      <c r="G28" s="135">
        <v>1574259</v>
      </c>
      <c r="H28" s="135">
        <v>5707048</v>
      </c>
      <c r="I28" s="135">
        <v>12891224</v>
      </c>
      <c r="J28" s="135">
        <v>125603</v>
      </c>
      <c r="K28" s="135">
        <v>18723875</v>
      </c>
      <c r="L28" s="135">
        <v>908025</v>
      </c>
      <c r="M28" s="135">
        <v>2668313</v>
      </c>
      <c r="N28" s="135">
        <v>24284</v>
      </c>
      <c r="O28" s="135">
        <v>3600622</v>
      </c>
    </row>
    <row r="30" spans="1:15" ht="15.75" x14ac:dyDescent="0.25">
      <c r="A30" s="150" t="s">
        <v>112</v>
      </c>
      <c r="B30" s="150"/>
      <c r="C30" s="150"/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0"/>
    </row>
    <row r="31" spans="1:15" ht="15.75" x14ac:dyDescent="0.25">
      <c r="A31" s="136"/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  <c r="O31" s="136"/>
    </row>
    <row r="32" spans="1:15" s="126" customFormat="1" ht="19.5" customHeight="1" x14ac:dyDescent="0.25">
      <c r="A32" s="144" t="s">
        <v>17</v>
      </c>
      <c r="B32" s="144" t="s">
        <v>33</v>
      </c>
      <c r="C32" s="144" t="s">
        <v>114</v>
      </c>
      <c r="D32" s="144" t="s">
        <v>69</v>
      </c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</row>
    <row r="33" spans="1:15" s="126" customFormat="1" ht="32.25" customHeight="1" x14ac:dyDescent="0.25">
      <c r="A33" s="144"/>
      <c r="B33" s="144"/>
      <c r="C33" s="144"/>
      <c r="D33" s="146" t="s">
        <v>36</v>
      </c>
      <c r="E33" s="146"/>
      <c r="F33" s="146"/>
      <c r="G33" s="146"/>
      <c r="H33" s="147" t="s">
        <v>37</v>
      </c>
      <c r="I33" s="148"/>
      <c r="J33" s="148"/>
      <c r="K33" s="149"/>
      <c r="L33" s="147" t="s">
        <v>38</v>
      </c>
      <c r="M33" s="148"/>
      <c r="N33" s="148"/>
      <c r="O33" s="149"/>
    </row>
    <row r="34" spans="1:15" s="126" customFormat="1" ht="60" customHeight="1" x14ac:dyDescent="0.25">
      <c r="A34" s="144"/>
      <c r="B34" s="144"/>
      <c r="C34" s="144"/>
      <c r="D34" s="127" t="s">
        <v>66</v>
      </c>
      <c r="E34" s="127" t="s">
        <v>67</v>
      </c>
      <c r="F34" s="127" t="s">
        <v>68</v>
      </c>
      <c r="G34" s="127" t="s">
        <v>70</v>
      </c>
      <c r="H34" s="128" t="s">
        <v>66</v>
      </c>
      <c r="I34" s="128" t="s">
        <v>67</v>
      </c>
      <c r="J34" s="128" t="s">
        <v>68</v>
      </c>
      <c r="K34" s="128" t="s">
        <v>71</v>
      </c>
      <c r="L34" s="128" t="s">
        <v>66</v>
      </c>
      <c r="M34" s="128" t="s">
        <v>67</v>
      </c>
      <c r="N34" s="128" t="s">
        <v>68</v>
      </c>
      <c r="O34" s="128" t="s">
        <v>72</v>
      </c>
    </row>
    <row r="35" spans="1:15" s="131" customFormat="1" ht="19.5" customHeight="1" x14ac:dyDescent="0.25">
      <c r="A35" s="129">
        <v>1</v>
      </c>
      <c r="B35" s="129">
        <v>2</v>
      </c>
      <c r="C35" s="129">
        <v>3</v>
      </c>
      <c r="D35" s="129">
        <v>4</v>
      </c>
      <c r="E35" s="129">
        <v>5</v>
      </c>
      <c r="F35" s="129">
        <v>6</v>
      </c>
      <c r="G35" s="129">
        <v>7</v>
      </c>
      <c r="H35" s="130">
        <v>8</v>
      </c>
      <c r="I35" s="130">
        <v>9</v>
      </c>
      <c r="J35" s="130">
        <v>10</v>
      </c>
      <c r="K35" s="130">
        <v>11</v>
      </c>
      <c r="L35" s="130">
        <v>12</v>
      </c>
      <c r="M35" s="130">
        <v>13</v>
      </c>
      <c r="N35" s="130">
        <v>14</v>
      </c>
      <c r="O35" s="130">
        <v>15</v>
      </c>
    </row>
    <row r="36" spans="1:15" s="131" customFormat="1" ht="31.5" customHeight="1" x14ac:dyDescent="0.3">
      <c r="A36" s="129" t="s">
        <v>16</v>
      </c>
      <c r="B36" s="132" t="s">
        <v>15</v>
      </c>
      <c r="C36" s="121">
        <v>7110565</v>
      </c>
      <c r="D36" s="121">
        <v>248243</v>
      </c>
      <c r="E36" s="121">
        <v>573477</v>
      </c>
      <c r="F36" s="121">
        <v>12918</v>
      </c>
      <c r="G36" s="121">
        <v>834638</v>
      </c>
      <c r="H36" s="121">
        <v>1349581</v>
      </c>
      <c r="I36" s="121">
        <v>3117723</v>
      </c>
      <c r="J36" s="121">
        <v>70231</v>
      </c>
      <c r="K36" s="122">
        <v>4537535</v>
      </c>
      <c r="L36" s="121">
        <v>517043</v>
      </c>
      <c r="M36" s="121">
        <v>1194442</v>
      </c>
      <c r="N36" s="121">
        <v>26907</v>
      </c>
      <c r="O36" s="122">
        <v>1738392</v>
      </c>
    </row>
    <row r="37" spans="1:15" ht="30" customHeight="1" x14ac:dyDescent="0.3">
      <c r="A37" s="133" t="s">
        <v>24</v>
      </c>
      <c r="B37" s="132" t="s">
        <v>14</v>
      </c>
      <c r="C37" s="121">
        <v>238004</v>
      </c>
      <c r="D37" s="121">
        <v>15337</v>
      </c>
      <c r="E37" s="121">
        <v>12469</v>
      </c>
      <c r="F37" s="121">
        <v>0</v>
      </c>
      <c r="G37" s="121">
        <v>27806</v>
      </c>
      <c r="H37" s="121">
        <v>80041</v>
      </c>
      <c r="I37" s="121">
        <v>65072</v>
      </c>
      <c r="J37" s="121">
        <v>0</v>
      </c>
      <c r="K37" s="122">
        <v>145113</v>
      </c>
      <c r="L37" s="121">
        <v>35899</v>
      </c>
      <c r="M37" s="121">
        <v>29186</v>
      </c>
      <c r="N37" s="121">
        <v>0</v>
      </c>
      <c r="O37" s="122">
        <v>65085</v>
      </c>
    </row>
    <row r="38" spans="1:15" ht="31.5" customHeight="1" x14ac:dyDescent="0.3">
      <c r="A38" s="133" t="s">
        <v>23</v>
      </c>
      <c r="B38" s="132" t="s">
        <v>13</v>
      </c>
      <c r="C38" s="121">
        <v>2189648</v>
      </c>
      <c r="D38" s="121">
        <v>0</v>
      </c>
      <c r="E38" s="121">
        <v>198273</v>
      </c>
      <c r="F38" s="121">
        <v>0</v>
      </c>
      <c r="G38" s="121">
        <v>198273</v>
      </c>
      <c r="H38" s="121">
        <v>0</v>
      </c>
      <c r="I38" s="121">
        <v>1504726</v>
      </c>
      <c r="J38" s="121">
        <v>0</v>
      </c>
      <c r="K38" s="122">
        <v>1504726</v>
      </c>
      <c r="L38" s="121">
        <v>0</v>
      </c>
      <c r="M38" s="121">
        <v>486649</v>
      </c>
      <c r="N38" s="121">
        <v>0</v>
      </c>
      <c r="O38" s="122">
        <v>486649</v>
      </c>
    </row>
    <row r="39" spans="1:15" ht="36" customHeight="1" x14ac:dyDescent="0.3">
      <c r="A39" s="133" t="s">
        <v>22</v>
      </c>
      <c r="B39" s="132" t="s">
        <v>12</v>
      </c>
      <c r="C39" s="121">
        <v>253169</v>
      </c>
      <c r="D39" s="121">
        <v>25917</v>
      </c>
      <c r="E39" s="121">
        <v>0</v>
      </c>
      <c r="F39" s="121">
        <v>0</v>
      </c>
      <c r="G39" s="121">
        <v>25917</v>
      </c>
      <c r="H39" s="121">
        <v>169185</v>
      </c>
      <c r="I39" s="121">
        <v>0</v>
      </c>
      <c r="J39" s="121">
        <v>0</v>
      </c>
      <c r="K39" s="122">
        <v>169185</v>
      </c>
      <c r="L39" s="121">
        <v>58067</v>
      </c>
      <c r="M39" s="121">
        <v>0</v>
      </c>
      <c r="N39" s="121">
        <v>0</v>
      </c>
      <c r="O39" s="122">
        <v>58067</v>
      </c>
    </row>
    <row r="40" spans="1:15" ht="51" customHeight="1" x14ac:dyDescent="0.3">
      <c r="A40" s="133" t="s">
        <v>21</v>
      </c>
      <c r="B40" s="132" t="s">
        <v>11</v>
      </c>
      <c r="C40" s="121">
        <v>0</v>
      </c>
      <c r="D40" s="121">
        <v>0</v>
      </c>
      <c r="E40" s="121">
        <v>0</v>
      </c>
      <c r="F40" s="121">
        <v>0</v>
      </c>
      <c r="G40" s="121">
        <v>0</v>
      </c>
      <c r="H40" s="121">
        <v>0</v>
      </c>
      <c r="I40" s="121">
        <v>0</v>
      </c>
      <c r="J40" s="121">
        <v>0</v>
      </c>
      <c r="K40" s="122">
        <v>0</v>
      </c>
      <c r="L40" s="121">
        <v>0</v>
      </c>
      <c r="M40" s="121">
        <v>0</v>
      </c>
      <c r="N40" s="121">
        <v>0</v>
      </c>
      <c r="O40" s="122">
        <v>0</v>
      </c>
    </row>
    <row r="41" spans="1:15" ht="19.5" customHeight="1" x14ac:dyDescent="0.3">
      <c r="A41" s="133" t="s">
        <v>20</v>
      </c>
      <c r="B41" s="132" t="s">
        <v>34</v>
      </c>
      <c r="C41" s="121">
        <v>199431</v>
      </c>
      <c r="D41" s="121">
        <v>22721</v>
      </c>
      <c r="E41" s="121">
        <v>0</v>
      </c>
      <c r="F41" s="121">
        <v>0</v>
      </c>
      <c r="G41" s="121">
        <v>22721</v>
      </c>
      <c r="H41" s="121">
        <v>118580</v>
      </c>
      <c r="I41" s="121">
        <v>0</v>
      </c>
      <c r="J41" s="121">
        <v>0</v>
      </c>
      <c r="K41" s="122">
        <v>118580</v>
      </c>
      <c r="L41" s="121">
        <v>58130</v>
      </c>
      <c r="M41" s="121">
        <v>0</v>
      </c>
      <c r="N41" s="121">
        <v>0</v>
      </c>
      <c r="O41" s="122">
        <v>58130</v>
      </c>
    </row>
    <row r="42" spans="1:15" ht="33" customHeight="1" x14ac:dyDescent="0.3">
      <c r="A42" s="133" t="s">
        <v>19</v>
      </c>
      <c r="B42" s="132" t="s">
        <v>10</v>
      </c>
      <c r="C42" s="121">
        <v>1038381</v>
      </c>
      <c r="D42" s="121">
        <v>33175</v>
      </c>
      <c r="E42" s="121">
        <v>43108</v>
      </c>
      <c r="F42" s="121">
        <v>2260</v>
      </c>
      <c r="G42" s="121">
        <v>78543</v>
      </c>
      <c r="H42" s="121">
        <v>301183</v>
      </c>
      <c r="I42" s="121">
        <v>391354</v>
      </c>
      <c r="J42" s="121">
        <v>20519</v>
      </c>
      <c r="K42" s="122">
        <v>713056</v>
      </c>
      <c r="L42" s="121">
        <v>104236</v>
      </c>
      <c r="M42" s="121">
        <v>135444</v>
      </c>
      <c r="N42" s="121">
        <v>7102</v>
      </c>
      <c r="O42" s="122">
        <v>246782</v>
      </c>
    </row>
    <row r="43" spans="1:15" ht="19.5" customHeight="1" x14ac:dyDescent="0.3">
      <c r="A43" s="133" t="s">
        <v>18</v>
      </c>
      <c r="B43" s="132" t="s">
        <v>9</v>
      </c>
      <c r="C43" s="121">
        <v>572834</v>
      </c>
      <c r="D43" s="121">
        <v>116745</v>
      </c>
      <c r="E43" s="121">
        <v>60838</v>
      </c>
      <c r="F43" s="121">
        <v>3001</v>
      </c>
      <c r="G43" s="121">
        <v>180584</v>
      </c>
      <c r="H43" s="121">
        <v>250302</v>
      </c>
      <c r="I43" s="121">
        <v>130438</v>
      </c>
      <c r="J43" s="121">
        <v>6434</v>
      </c>
      <c r="K43" s="122">
        <v>387174</v>
      </c>
      <c r="L43" s="121">
        <v>3337</v>
      </c>
      <c r="M43" s="121">
        <v>1739</v>
      </c>
      <c r="N43" s="121">
        <v>0</v>
      </c>
      <c r="O43" s="122">
        <v>5076</v>
      </c>
    </row>
    <row r="44" spans="1:15" ht="19.5" customHeight="1" x14ac:dyDescent="0.3">
      <c r="A44" s="133" t="s">
        <v>25</v>
      </c>
      <c r="B44" s="132" t="s">
        <v>8</v>
      </c>
      <c r="C44" s="121">
        <v>1885244</v>
      </c>
      <c r="D44" s="121">
        <v>10627</v>
      </c>
      <c r="E44" s="121">
        <v>43932</v>
      </c>
      <c r="F44" s="121">
        <v>0</v>
      </c>
      <c r="G44" s="121">
        <v>54559</v>
      </c>
      <c r="H44" s="121">
        <v>205845</v>
      </c>
      <c r="I44" s="121">
        <v>851004</v>
      </c>
      <c r="J44" s="121">
        <v>0</v>
      </c>
      <c r="K44" s="122">
        <v>1056849</v>
      </c>
      <c r="L44" s="121">
        <v>150722</v>
      </c>
      <c r="M44" s="121">
        <v>623114</v>
      </c>
      <c r="N44" s="121">
        <v>0</v>
      </c>
      <c r="O44" s="122">
        <v>773836</v>
      </c>
    </row>
    <row r="45" spans="1:15" ht="19.5" customHeight="1" x14ac:dyDescent="0.3">
      <c r="A45" s="133" t="s">
        <v>26</v>
      </c>
      <c r="B45" s="132" t="s">
        <v>7</v>
      </c>
      <c r="C45" s="121">
        <v>6101995</v>
      </c>
      <c r="D45" s="121">
        <v>13172</v>
      </c>
      <c r="E45" s="121">
        <v>52607</v>
      </c>
      <c r="F45" s="121">
        <v>0</v>
      </c>
      <c r="G45" s="121">
        <v>65779</v>
      </c>
      <c r="H45" s="121">
        <v>1159005</v>
      </c>
      <c r="I45" s="121">
        <v>4628859</v>
      </c>
      <c r="J45" s="121">
        <v>0</v>
      </c>
      <c r="K45" s="121">
        <v>5787864</v>
      </c>
      <c r="L45" s="121">
        <v>49732</v>
      </c>
      <c r="M45" s="121">
        <v>198620</v>
      </c>
      <c r="N45" s="121">
        <v>0</v>
      </c>
      <c r="O45" s="121">
        <v>248352</v>
      </c>
    </row>
    <row r="46" spans="1:15" ht="19.5" customHeight="1" x14ac:dyDescent="0.3">
      <c r="A46" s="133" t="s">
        <v>27</v>
      </c>
      <c r="B46" s="132" t="s">
        <v>6</v>
      </c>
      <c r="C46" s="121">
        <v>1159498</v>
      </c>
      <c r="D46" s="121">
        <v>1630</v>
      </c>
      <c r="E46" s="121">
        <v>1172</v>
      </c>
      <c r="F46" s="121">
        <v>0</v>
      </c>
      <c r="G46" s="121">
        <v>2802</v>
      </c>
      <c r="H46" s="121">
        <v>646790</v>
      </c>
      <c r="I46" s="121">
        <v>465221</v>
      </c>
      <c r="J46" s="121">
        <v>43652</v>
      </c>
      <c r="K46" s="122">
        <v>1155663</v>
      </c>
      <c r="L46" s="121">
        <v>1033</v>
      </c>
      <c r="M46" s="121">
        <v>0</v>
      </c>
      <c r="N46" s="121">
        <v>0</v>
      </c>
      <c r="O46" s="122">
        <v>1033</v>
      </c>
    </row>
    <row r="47" spans="1:15" ht="19.5" customHeight="1" x14ac:dyDescent="0.3">
      <c r="A47" s="133" t="s">
        <v>28</v>
      </c>
      <c r="B47" s="132" t="s">
        <v>5</v>
      </c>
      <c r="C47" s="121">
        <v>581981</v>
      </c>
      <c r="D47" s="121">
        <v>52991</v>
      </c>
      <c r="E47" s="121">
        <v>30520</v>
      </c>
      <c r="F47" s="121">
        <v>1910</v>
      </c>
      <c r="G47" s="121">
        <v>85421</v>
      </c>
      <c r="H47" s="121">
        <v>304204</v>
      </c>
      <c r="I47" s="121">
        <v>175204</v>
      </c>
      <c r="J47" s="121">
        <v>10967</v>
      </c>
      <c r="K47" s="122">
        <v>490375</v>
      </c>
      <c r="L47" s="121">
        <v>3925</v>
      </c>
      <c r="M47" s="121">
        <v>2260</v>
      </c>
      <c r="N47" s="121">
        <v>0</v>
      </c>
      <c r="O47" s="122">
        <v>6185</v>
      </c>
    </row>
    <row r="48" spans="1:15" ht="19.5" customHeight="1" x14ac:dyDescent="0.3">
      <c r="A48" s="133" t="s">
        <v>29</v>
      </c>
      <c r="B48" s="132" t="s">
        <v>4</v>
      </c>
      <c r="C48" s="121">
        <v>584639</v>
      </c>
      <c r="D48" s="121">
        <v>10322</v>
      </c>
      <c r="E48" s="121">
        <v>12865</v>
      </c>
      <c r="F48" s="121">
        <v>0</v>
      </c>
      <c r="G48" s="121">
        <v>23187</v>
      </c>
      <c r="H48" s="121">
        <v>248423</v>
      </c>
      <c r="I48" s="121">
        <v>309650</v>
      </c>
      <c r="J48" s="121">
        <v>0</v>
      </c>
      <c r="K48" s="122">
        <v>558073</v>
      </c>
      <c r="L48" s="121">
        <v>1504</v>
      </c>
      <c r="M48" s="121">
        <v>1875</v>
      </c>
      <c r="N48" s="121">
        <v>0</v>
      </c>
      <c r="O48" s="122">
        <v>3379</v>
      </c>
    </row>
    <row r="49" spans="1:15" ht="19.5" customHeight="1" x14ac:dyDescent="0.3">
      <c r="A49" s="133">
        <v>14</v>
      </c>
      <c r="B49" s="132" t="s">
        <v>3</v>
      </c>
      <c r="C49" s="121">
        <v>596250</v>
      </c>
      <c r="D49" s="121">
        <v>21452</v>
      </c>
      <c r="E49" s="121">
        <v>10544</v>
      </c>
      <c r="F49" s="121">
        <v>1001</v>
      </c>
      <c r="G49" s="121">
        <v>32997</v>
      </c>
      <c r="H49" s="121">
        <v>287629</v>
      </c>
      <c r="I49" s="121">
        <v>141379</v>
      </c>
      <c r="J49" s="121">
        <v>13422</v>
      </c>
      <c r="K49" s="122">
        <v>442430</v>
      </c>
      <c r="L49" s="121">
        <v>78549</v>
      </c>
      <c r="M49" s="121">
        <v>38609</v>
      </c>
      <c r="N49" s="121">
        <v>3665</v>
      </c>
      <c r="O49" s="122">
        <v>120823</v>
      </c>
    </row>
    <row r="50" spans="1:15" ht="98.25" customHeight="1" x14ac:dyDescent="0.3">
      <c r="A50" s="133" t="s">
        <v>30</v>
      </c>
      <c r="B50" s="132" t="s">
        <v>130</v>
      </c>
      <c r="C50" s="121">
        <v>129449</v>
      </c>
      <c r="D50" s="121">
        <v>3780</v>
      </c>
      <c r="E50" s="121">
        <v>0</v>
      </c>
      <c r="F50" s="121">
        <v>0</v>
      </c>
      <c r="G50" s="121">
        <v>3780</v>
      </c>
      <c r="H50" s="121">
        <v>116540</v>
      </c>
      <c r="I50" s="121">
        <v>0</v>
      </c>
      <c r="J50" s="121">
        <v>0</v>
      </c>
      <c r="K50" s="122">
        <v>116540</v>
      </c>
      <c r="L50" s="121">
        <v>9129</v>
      </c>
      <c r="M50" s="121">
        <v>0</v>
      </c>
      <c r="N50" s="121">
        <v>0</v>
      </c>
      <c r="O50" s="122">
        <v>9129</v>
      </c>
    </row>
    <row r="51" spans="1:15" ht="99" customHeight="1" x14ac:dyDescent="0.3">
      <c r="A51" s="133" t="s">
        <v>31</v>
      </c>
      <c r="B51" s="132" t="s">
        <v>131</v>
      </c>
      <c r="C51" s="121">
        <v>104537</v>
      </c>
      <c r="D51" s="121">
        <v>7635</v>
      </c>
      <c r="E51" s="121">
        <v>0</v>
      </c>
      <c r="F51" s="121">
        <v>0</v>
      </c>
      <c r="G51" s="121">
        <v>7635</v>
      </c>
      <c r="H51" s="121">
        <v>93653</v>
      </c>
      <c r="I51" s="121">
        <v>0</v>
      </c>
      <c r="J51" s="121">
        <v>0</v>
      </c>
      <c r="K51" s="122">
        <v>93653</v>
      </c>
      <c r="L51" s="121">
        <v>3249</v>
      </c>
      <c r="M51" s="121">
        <v>0</v>
      </c>
      <c r="N51" s="121">
        <v>0</v>
      </c>
      <c r="O51" s="122">
        <v>3249</v>
      </c>
    </row>
    <row r="52" spans="1:15" ht="19.5" customHeight="1" x14ac:dyDescent="0.3">
      <c r="A52" s="133" t="s">
        <v>32</v>
      </c>
      <c r="B52" s="132" t="s">
        <v>73</v>
      </c>
      <c r="C52" s="121">
        <v>38775</v>
      </c>
      <c r="D52" s="121">
        <v>5410</v>
      </c>
      <c r="E52" s="121">
        <v>0</v>
      </c>
      <c r="F52" s="121">
        <v>0</v>
      </c>
      <c r="G52" s="121">
        <v>5410</v>
      </c>
      <c r="H52" s="121">
        <v>19362</v>
      </c>
      <c r="I52" s="121">
        <v>0</v>
      </c>
      <c r="J52" s="121">
        <v>0</v>
      </c>
      <c r="K52" s="122">
        <v>19362</v>
      </c>
      <c r="L52" s="121">
        <v>14003</v>
      </c>
      <c r="M52" s="121">
        <v>0</v>
      </c>
      <c r="N52" s="121">
        <v>0</v>
      </c>
      <c r="O52" s="122">
        <v>14003</v>
      </c>
    </row>
    <row r="53" spans="1:15" ht="19.5" customHeight="1" x14ac:dyDescent="0.3">
      <c r="A53" s="133" t="s">
        <v>90</v>
      </c>
      <c r="B53" s="132" t="s">
        <v>132</v>
      </c>
      <c r="C53" s="121">
        <v>29572</v>
      </c>
      <c r="D53" s="121">
        <v>0</v>
      </c>
      <c r="E53" s="121">
        <v>3324</v>
      </c>
      <c r="F53" s="121">
        <v>0</v>
      </c>
      <c r="G53" s="121">
        <v>3324</v>
      </c>
      <c r="H53" s="121">
        <v>0</v>
      </c>
      <c r="I53" s="121">
        <v>17479</v>
      </c>
      <c r="J53" s="121">
        <v>0</v>
      </c>
      <c r="K53" s="122">
        <v>17479</v>
      </c>
      <c r="L53" s="121">
        <v>0</v>
      </c>
      <c r="M53" s="121">
        <v>8769</v>
      </c>
      <c r="N53" s="121">
        <v>0</v>
      </c>
      <c r="O53" s="122">
        <v>8769</v>
      </c>
    </row>
    <row r="54" spans="1:15" ht="19.5" customHeight="1" x14ac:dyDescent="0.25">
      <c r="A54" s="134"/>
      <c r="B54" s="134" t="s">
        <v>0</v>
      </c>
      <c r="C54" s="135">
        <v>22813972</v>
      </c>
      <c r="D54" s="135">
        <v>589157</v>
      </c>
      <c r="E54" s="135">
        <v>1043129</v>
      </c>
      <c r="F54" s="135">
        <v>21090</v>
      </c>
      <c r="G54" s="135">
        <v>1653376</v>
      </c>
      <c r="H54" s="135">
        <v>5350323</v>
      </c>
      <c r="I54" s="135">
        <v>11798109</v>
      </c>
      <c r="J54" s="135">
        <v>165225</v>
      </c>
      <c r="K54" s="135">
        <v>17313657</v>
      </c>
      <c r="L54" s="135">
        <v>1088558</v>
      </c>
      <c r="M54" s="135">
        <v>2720707</v>
      </c>
      <c r="N54" s="135">
        <v>37674</v>
      </c>
      <c r="O54" s="135">
        <v>3846939</v>
      </c>
    </row>
    <row r="55" spans="1:15" x14ac:dyDescent="0.25">
      <c r="G55" s="137"/>
      <c r="H55" s="138"/>
      <c r="I55" s="138"/>
      <c r="J55" s="138"/>
    </row>
    <row r="56" spans="1:15" ht="15.75" x14ac:dyDescent="0.25">
      <c r="A56" s="150" t="s">
        <v>112</v>
      </c>
      <c r="B56" s="150"/>
      <c r="C56" s="150"/>
      <c r="D56" s="150"/>
      <c r="E56" s="150"/>
      <c r="F56" s="150"/>
      <c r="G56" s="150"/>
      <c r="H56" s="150"/>
      <c r="I56" s="150"/>
      <c r="J56" s="150"/>
      <c r="K56" s="150"/>
      <c r="L56" s="150"/>
      <c r="M56" s="150"/>
      <c r="N56" s="150"/>
      <c r="O56" s="150"/>
    </row>
    <row r="57" spans="1:15" ht="15.75" x14ac:dyDescent="0.25">
      <c r="A57" s="136"/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</row>
    <row r="58" spans="1:15" s="126" customFormat="1" ht="19.5" customHeight="1" x14ac:dyDescent="0.25">
      <c r="A58" s="144" t="s">
        <v>17</v>
      </c>
      <c r="B58" s="144" t="s">
        <v>33</v>
      </c>
      <c r="C58" s="144" t="s">
        <v>115</v>
      </c>
      <c r="D58" s="144" t="s">
        <v>69</v>
      </c>
      <c r="E58" s="144"/>
      <c r="F58" s="144"/>
      <c r="G58" s="144"/>
      <c r="H58" s="144"/>
      <c r="I58" s="144"/>
      <c r="J58" s="144"/>
      <c r="K58" s="144"/>
      <c r="L58" s="144"/>
      <c r="M58" s="144"/>
      <c r="N58" s="144"/>
      <c r="O58" s="144"/>
    </row>
    <row r="59" spans="1:15" s="126" customFormat="1" ht="36.75" customHeight="1" x14ac:dyDescent="0.25">
      <c r="A59" s="144"/>
      <c r="B59" s="144"/>
      <c r="C59" s="144"/>
      <c r="D59" s="146" t="s">
        <v>36</v>
      </c>
      <c r="E59" s="146"/>
      <c r="F59" s="146"/>
      <c r="G59" s="146"/>
      <c r="H59" s="147" t="s">
        <v>37</v>
      </c>
      <c r="I59" s="148"/>
      <c r="J59" s="148"/>
      <c r="K59" s="149"/>
      <c r="L59" s="147" t="s">
        <v>38</v>
      </c>
      <c r="M59" s="148"/>
      <c r="N59" s="148"/>
      <c r="O59" s="149"/>
    </row>
    <row r="60" spans="1:15" s="126" customFormat="1" ht="67.5" customHeight="1" x14ac:dyDescent="0.25">
      <c r="A60" s="144"/>
      <c r="B60" s="144"/>
      <c r="C60" s="144"/>
      <c r="D60" s="127" t="s">
        <v>66</v>
      </c>
      <c r="E60" s="127" t="s">
        <v>67</v>
      </c>
      <c r="F60" s="127" t="s">
        <v>68</v>
      </c>
      <c r="G60" s="127" t="s">
        <v>70</v>
      </c>
      <c r="H60" s="128" t="s">
        <v>66</v>
      </c>
      <c r="I60" s="128" t="s">
        <v>67</v>
      </c>
      <c r="J60" s="128" t="s">
        <v>68</v>
      </c>
      <c r="K60" s="128" t="s">
        <v>71</v>
      </c>
      <c r="L60" s="128" t="s">
        <v>66</v>
      </c>
      <c r="M60" s="128" t="s">
        <v>67</v>
      </c>
      <c r="N60" s="128" t="s">
        <v>68</v>
      </c>
      <c r="O60" s="128" t="s">
        <v>72</v>
      </c>
    </row>
    <row r="61" spans="1:15" s="131" customFormat="1" ht="19.5" customHeight="1" x14ac:dyDescent="0.25">
      <c r="A61" s="129">
        <v>1</v>
      </c>
      <c r="B61" s="129">
        <v>2</v>
      </c>
      <c r="C61" s="129">
        <v>3</v>
      </c>
      <c r="D61" s="129">
        <v>4</v>
      </c>
      <c r="E61" s="129">
        <v>5</v>
      </c>
      <c r="F61" s="129">
        <v>6</v>
      </c>
      <c r="G61" s="129">
        <v>7</v>
      </c>
      <c r="H61" s="130">
        <v>8</v>
      </c>
      <c r="I61" s="130">
        <v>9</v>
      </c>
      <c r="J61" s="130">
        <v>10</v>
      </c>
      <c r="K61" s="130">
        <v>11</v>
      </c>
      <c r="L61" s="130">
        <v>12</v>
      </c>
      <c r="M61" s="130">
        <v>13</v>
      </c>
      <c r="N61" s="130">
        <v>14</v>
      </c>
      <c r="O61" s="130">
        <v>15</v>
      </c>
    </row>
    <row r="62" spans="1:15" s="131" customFormat="1" ht="30" customHeight="1" x14ac:dyDescent="0.3">
      <c r="A62" s="129" t="s">
        <v>16</v>
      </c>
      <c r="B62" s="132" t="s">
        <v>15</v>
      </c>
      <c r="C62" s="121">
        <v>6326120</v>
      </c>
      <c r="D62" s="121">
        <v>216511</v>
      </c>
      <c r="E62" s="121">
        <v>514704</v>
      </c>
      <c r="F62" s="121">
        <v>11345</v>
      </c>
      <c r="G62" s="121">
        <v>742560</v>
      </c>
      <c r="H62" s="121">
        <v>1177068</v>
      </c>
      <c r="I62" s="121">
        <v>2798206</v>
      </c>
      <c r="J62" s="121">
        <v>61677</v>
      </c>
      <c r="K62" s="122">
        <v>4036951</v>
      </c>
      <c r="L62" s="121">
        <v>450950</v>
      </c>
      <c r="M62" s="121">
        <v>1072030</v>
      </c>
      <c r="N62" s="121">
        <v>23629</v>
      </c>
      <c r="O62" s="122">
        <v>1546609</v>
      </c>
    </row>
    <row r="63" spans="1:15" ht="36.75" customHeight="1" x14ac:dyDescent="0.3">
      <c r="A63" s="133" t="s">
        <v>24</v>
      </c>
      <c r="B63" s="132" t="s">
        <v>14</v>
      </c>
      <c r="C63" s="121">
        <v>287895</v>
      </c>
      <c r="D63" s="121">
        <v>19511</v>
      </c>
      <c r="E63" s="121">
        <v>14124</v>
      </c>
      <c r="F63" s="121">
        <v>0</v>
      </c>
      <c r="G63" s="121">
        <v>33635</v>
      </c>
      <c r="H63" s="121">
        <v>101824</v>
      </c>
      <c r="I63" s="121">
        <v>73708</v>
      </c>
      <c r="J63" s="121">
        <v>0</v>
      </c>
      <c r="K63" s="122">
        <v>175532</v>
      </c>
      <c r="L63" s="121">
        <v>45669</v>
      </c>
      <c r="M63" s="121">
        <v>33059</v>
      </c>
      <c r="N63" s="121">
        <v>0</v>
      </c>
      <c r="O63" s="122">
        <v>78728</v>
      </c>
    </row>
    <row r="64" spans="1:15" ht="33.75" customHeight="1" x14ac:dyDescent="0.3">
      <c r="A64" s="133" t="s">
        <v>23</v>
      </c>
      <c r="B64" s="132" t="s">
        <v>13</v>
      </c>
      <c r="C64" s="121">
        <v>2283478</v>
      </c>
      <c r="D64" s="121">
        <v>0</v>
      </c>
      <c r="E64" s="121">
        <v>206769</v>
      </c>
      <c r="F64" s="121">
        <v>0</v>
      </c>
      <c r="G64" s="121">
        <v>206769</v>
      </c>
      <c r="H64" s="121">
        <v>0</v>
      </c>
      <c r="I64" s="121">
        <v>1569206</v>
      </c>
      <c r="J64" s="121">
        <v>0</v>
      </c>
      <c r="K64" s="122">
        <v>1569206</v>
      </c>
      <c r="L64" s="121">
        <v>0</v>
      </c>
      <c r="M64" s="121">
        <v>507503</v>
      </c>
      <c r="N64" s="121">
        <v>0</v>
      </c>
      <c r="O64" s="122">
        <v>507503</v>
      </c>
    </row>
    <row r="65" spans="1:15" ht="33" customHeight="1" x14ac:dyDescent="0.3">
      <c r="A65" s="133" t="s">
        <v>22</v>
      </c>
      <c r="B65" s="132" t="s">
        <v>12</v>
      </c>
      <c r="C65" s="121">
        <v>208229</v>
      </c>
      <c r="D65" s="121">
        <v>21316</v>
      </c>
      <c r="E65" s="121">
        <v>0</v>
      </c>
      <c r="F65" s="121">
        <v>0</v>
      </c>
      <c r="G65" s="121">
        <v>21316</v>
      </c>
      <c r="H65" s="121">
        <v>139153</v>
      </c>
      <c r="I65" s="121">
        <v>0</v>
      </c>
      <c r="J65" s="121">
        <v>0</v>
      </c>
      <c r="K65" s="122">
        <v>139153</v>
      </c>
      <c r="L65" s="121">
        <v>47760</v>
      </c>
      <c r="M65" s="121">
        <v>0</v>
      </c>
      <c r="N65" s="121">
        <v>0</v>
      </c>
      <c r="O65" s="122">
        <v>47760</v>
      </c>
    </row>
    <row r="66" spans="1:15" ht="48.75" customHeight="1" x14ac:dyDescent="0.3">
      <c r="A66" s="133" t="s">
        <v>21</v>
      </c>
      <c r="B66" s="132" t="s">
        <v>11</v>
      </c>
      <c r="C66" s="121">
        <v>0</v>
      </c>
      <c r="D66" s="121">
        <v>0</v>
      </c>
      <c r="E66" s="121">
        <v>0</v>
      </c>
      <c r="F66" s="121">
        <v>0</v>
      </c>
      <c r="G66" s="121">
        <v>0</v>
      </c>
      <c r="H66" s="121">
        <v>0</v>
      </c>
      <c r="I66" s="121">
        <v>0</v>
      </c>
      <c r="J66" s="121">
        <v>0</v>
      </c>
      <c r="K66" s="122">
        <v>0</v>
      </c>
      <c r="L66" s="121">
        <v>0</v>
      </c>
      <c r="M66" s="121">
        <v>0</v>
      </c>
      <c r="N66" s="121">
        <v>0</v>
      </c>
      <c r="O66" s="122">
        <v>0</v>
      </c>
    </row>
    <row r="67" spans="1:15" ht="21.75" customHeight="1" x14ac:dyDescent="0.3">
      <c r="A67" s="133" t="s">
        <v>20</v>
      </c>
      <c r="B67" s="132" t="s">
        <v>34</v>
      </c>
      <c r="C67" s="121">
        <v>170498</v>
      </c>
      <c r="D67" s="121">
        <v>19425</v>
      </c>
      <c r="E67" s="121">
        <v>0</v>
      </c>
      <c r="F67" s="121">
        <v>0</v>
      </c>
      <c r="G67" s="121">
        <v>19425</v>
      </c>
      <c r="H67" s="121">
        <v>101376</v>
      </c>
      <c r="I67" s="121">
        <v>0</v>
      </c>
      <c r="J67" s="121">
        <v>0</v>
      </c>
      <c r="K67" s="122">
        <v>101376</v>
      </c>
      <c r="L67" s="121">
        <v>49697</v>
      </c>
      <c r="M67" s="121">
        <v>0</v>
      </c>
      <c r="N67" s="121">
        <v>0</v>
      </c>
      <c r="O67" s="122">
        <v>49697</v>
      </c>
    </row>
    <row r="68" spans="1:15" ht="33.75" customHeight="1" x14ac:dyDescent="0.3">
      <c r="A68" s="133" t="s">
        <v>19</v>
      </c>
      <c r="B68" s="132" t="s">
        <v>10</v>
      </c>
      <c r="C68" s="121">
        <v>588654</v>
      </c>
      <c r="D68" s="121">
        <v>18705</v>
      </c>
      <c r="E68" s="121">
        <v>24497</v>
      </c>
      <c r="F68" s="121">
        <v>1324</v>
      </c>
      <c r="G68" s="121">
        <v>44526</v>
      </c>
      <c r="H68" s="121">
        <v>169811</v>
      </c>
      <c r="I68" s="121">
        <v>222400</v>
      </c>
      <c r="J68" s="121">
        <v>12017</v>
      </c>
      <c r="K68" s="122">
        <v>404228</v>
      </c>
      <c r="L68" s="121">
        <v>58770</v>
      </c>
      <c r="M68" s="121">
        <v>76971</v>
      </c>
      <c r="N68" s="121">
        <v>4159</v>
      </c>
      <c r="O68" s="122">
        <v>139900</v>
      </c>
    </row>
    <row r="69" spans="1:15" ht="19.5" customHeight="1" x14ac:dyDescent="0.3">
      <c r="A69" s="133" t="s">
        <v>18</v>
      </c>
      <c r="B69" s="132" t="s">
        <v>9</v>
      </c>
      <c r="C69" s="121">
        <v>736260</v>
      </c>
      <c r="D69" s="121">
        <v>184409</v>
      </c>
      <c r="E69" s="121">
        <v>45840</v>
      </c>
      <c r="F69" s="121">
        <v>1837</v>
      </c>
      <c r="G69" s="121">
        <v>232086</v>
      </c>
      <c r="H69" s="121">
        <v>395373</v>
      </c>
      <c r="I69" s="121">
        <v>98281</v>
      </c>
      <c r="J69" s="121">
        <v>3938</v>
      </c>
      <c r="K69" s="122">
        <v>497592</v>
      </c>
      <c r="L69" s="121">
        <v>5271</v>
      </c>
      <c r="M69" s="121">
        <v>1311</v>
      </c>
      <c r="N69" s="121">
        <v>0</v>
      </c>
      <c r="O69" s="122">
        <v>6582</v>
      </c>
    </row>
    <row r="70" spans="1:15" ht="19.5" customHeight="1" x14ac:dyDescent="0.3">
      <c r="A70" s="133" t="s">
        <v>25</v>
      </c>
      <c r="B70" s="132" t="s">
        <v>8</v>
      </c>
      <c r="C70" s="121">
        <v>2108386</v>
      </c>
      <c r="D70" s="121">
        <v>13101</v>
      </c>
      <c r="E70" s="121">
        <v>47915</v>
      </c>
      <c r="F70" s="121">
        <v>0</v>
      </c>
      <c r="G70" s="121">
        <v>61016</v>
      </c>
      <c r="H70" s="121">
        <v>253785</v>
      </c>
      <c r="I70" s="121">
        <v>928156</v>
      </c>
      <c r="J70" s="121">
        <v>0</v>
      </c>
      <c r="K70" s="122">
        <v>1181941</v>
      </c>
      <c r="L70" s="121">
        <v>185824</v>
      </c>
      <c r="M70" s="121">
        <v>679605</v>
      </c>
      <c r="N70" s="121">
        <v>0</v>
      </c>
      <c r="O70" s="122">
        <v>865429</v>
      </c>
    </row>
    <row r="71" spans="1:15" ht="19.5" customHeight="1" x14ac:dyDescent="0.3">
      <c r="A71" s="133" t="s">
        <v>26</v>
      </c>
      <c r="B71" s="132" t="s">
        <v>7</v>
      </c>
      <c r="C71" s="121">
        <v>6047081</v>
      </c>
      <c r="D71" s="121">
        <v>12439</v>
      </c>
      <c r="E71" s="121">
        <v>52749</v>
      </c>
      <c r="F71" s="121">
        <v>0</v>
      </c>
      <c r="G71" s="121">
        <v>65188</v>
      </c>
      <c r="H71" s="121">
        <v>1094465</v>
      </c>
      <c r="I71" s="121">
        <v>4641312</v>
      </c>
      <c r="J71" s="121">
        <v>0</v>
      </c>
      <c r="K71" s="122">
        <v>5735777</v>
      </c>
      <c r="L71" s="121">
        <v>46962</v>
      </c>
      <c r="M71" s="121">
        <v>199154</v>
      </c>
      <c r="N71" s="121">
        <v>0</v>
      </c>
      <c r="O71" s="122">
        <v>246116</v>
      </c>
    </row>
    <row r="72" spans="1:15" ht="19.5" customHeight="1" x14ac:dyDescent="0.3">
      <c r="A72" s="133" t="s">
        <v>27</v>
      </c>
      <c r="B72" s="132" t="s">
        <v>6</v>
      </c>
      <c r="C72" s="121">
        <v>981853</v>
      </c>
      <c r="D72" s="121">
        <v>1405</v>
      </c>
      <c r="E72" s="121">
        <v>0</v>
      </c>
      <c r="F72" s="121">
        <v>0</v>
      </c>
      <c r="G72" s="121">
        <v>1405</v>
      </c>
      <c r="H72" s="121">
        <v>557595</v>
      </c>
      <c r="I72" s="121">
        <v>385841</v>
      </c>
      <c r="J72" s="121">
        <v>37012</v>
      </c>
      <c r="K72" s="122">
        <v>980448</v>
      </c>
      <c r="L72" s="121">
        <v>0</v>
      </c>
      <c r="M72" s="121">
        <v>0</v>
      </c>
      <c r="N72" s="121">
        <v>0</v>
      </c>
      <c r="O72" s="122">
        <v>0</v>
      </c>
    </row>
    <row r="73" spans="1:15" ht="19.5" customHeight="1" x14ac:dyDescent="0.3">
      <c r="A73" s="133" t="s">
        <v>28</v>
      </c>
      <c r="B73" s="132" t="s">
        <v>5</v>
      </c>
      <c r="C73" s="121">
        <v>891422</v>
      </c>
      <c r="D73" s="121">
        <v>60750</v>
      </c>
      <c r="E73" s="121">
        <v>68215</v>
      </c>
      <c r="F73" s="121">
        <v>1863</v>
      </c>
      <c r="G73" s="121">
        <v>130828</v>
      </c>
      <c r="H73" s="121">
        <v>348746</v>
      </c>
      <c r="I73" s="121">
        <v>391600</v>
      </c>
      <c r="J73" s="121">
        <v>10695</v>
      </c>
      <c r="K73" s="122">
        <v>751041</v>
      </c>
      <c r="L73" s="121">
        <v>4500</v>
      </c>
      <c r="M73" s="121">
        <v>5053</v>
      </c>
      <c r="N73" s="121">
        <v>0</v>
      </c>
      <c r="O73" s="122">
        <v>9553</v>
      </c>
    </row>
    <row r="74" spans="1:15" ht="19.5" customHeight="1" x14ac:dyDescent="0.3">
      <c r="A74" s="133" t="s">
        <v>29</v>
      </c>
      <c r="B74" s="132" t="s">
        <v>4</v>
      </c>
      <c r="C74" s="121">
        <v>514937</v>
      </c>
      <c r="D74" s="121">
        <v>9091</v>
      </c>
      <c r="E74" s="121">
        <v>11331</v>
      </c>
      <c r="F74" s="121">
        <v>0</v>
      </c>
      <c r="G74" s="121">
        <v>20422</v>
      </c>
      <c r="H74" s="121">
        <v>218806</v>
      </c>
      <c r="I74" s="121">
        <v>272732</v>
      </c>
      <c r="J74" s="121">
        <v>0</v>
      </c>
      <c r="K74" s="122">
        <v>491538</v>
      </c>
      <c r="L74" s="121">
        <v>1325</v>
      </c>
      <c r="M74" s="121">
        <v>1652</v>
      </c>
      <c r="N74" s="121">
        <v>0</v>
      </c>
      <c r="O74" s="122">
        <v>2977</v>
      </c>
    </row>
    <row r="75" spans="1:15" ht="19.5" customHeight="1" x14ac:dyDescent="0.3">
      <c r="A75" s="133">
        <v>14</v>
      </c>
      <c r="B75" s="132" t="s">
        <v>3</v>
      </c>
      <c r="C75" s="121">
        <v>942984</v>
      </c>
      <c r="D75" s="121">
        <v>33939</v>
      </c>
      <c r="E75" s="121">
        <v>16681</v>
      </c>
      <c r="F75" s="121">
        <v>1564</v>
      </c>
      <c r="G75" s="121">
        <v>52184</v>
      </c>
      <c r="H75" s="121">
        <v>455076</v>
      </c>
      <c r="I75" s="121">
        <v>223670</v>
      </c>
      <c r="J75" s="121">
        <v>20968</v>
      </c>
      <c r="K75" s="122">
        <v>699714</v>
      </c>
      <c r="L75" s="121">
        <v>124278</v>
      </c>
      <c r="M75" s="121">
        <v>61082</v>
      </c>
      <c r="N75" s="121">
        <v>5726</v>
      </c>
      <c r="O75" s="122">
        <v>191086</v>
      </c>
    </row>
    <row r="76" spans="1:15" ht="99" customHeight="1" x14ac:dyDescent="0.3">
      <c r="A76" s="133" t="s">
        <v>30</v>
      </c>
      <c r="B76" s="132" t="s">
        <v>130</v>
      </c>
      <c r="C76" s="121">
        <v>129449</v>
      </c>
      <c r="D76" s="121">
        <v>3780</v>
      </c>
      <c r="E76" s="121">
        <v>0</v>
      </c>
      <c r="F76" s="121">
        <v>0</v>
      </c>
      <c r="G76" s="121">
        <v>3780</v>
      </c>
      <c r="H76" s="121">
        <v>116540</v>
      </c>
      <c r="I76" s="121">
        <v>0</v>
      </c>
      <c r="J76" s="121">
        <v>0</v>
      </c>
      <c r="K76" s="122">
        <v>116540</v>
      </c>
      <c r="L76" s="121">
        <v>9129</v>
      </c>
      <c r="M76" s="121">
        <v>0</v>
      </c>
      <c r="N76" s="121">
        <v>0</v>
      </c>
      <c r="O76" s="122">
        <v>9129</v>
      </c>
    </row>
    <row r="77" spans="1:15" ht="99" customHeight="1" x14ac:dyDescent="0.3">
      <c r="A77" s="133" t="s">
        <v>31</v>
      </c>
      <c r="B77" s="132" t="s">
        <v>131</v>
      </c>
      <c r="C77" s="121">
        <v>75002</v>
      </c>
      <c r="D77" s="121">
        <v>5478</v>
      </c>
      <c r="E77" s="121">
        <v>0</v>
      </c>
      <c r="F77" s="121">
        <v>0</v>
      </c>
      <c r="G77" s="121">
        <v>5478</v>
      </c>
      <c r="H77" s="121">
        <v>67193</v>
      </c>
      <c r="I77" s="121">
        <v>0</v>
      </c>
      <c r="J77" s="121">
        <v>0</v>
      </c>
      <c r="K77" s="122">
        <v>67193</v>
      </c>
      <c r="L77" s="121">
        <v>2331</v>
      </c>
      <c r="M77" s="121">
        <v>0</v>
      </c>
      <c r="N77" s="121">
        <v>0</v>
      </c>
      <c r="O77" s="122">
        <v>2331</v>
      </c>
    </row>
    <row r="78" spans="1:15" ht="19.5" customHeight="1" x14ac:dyDescent="0.3">
      <c r="A78" s="133" t="s">
        <v>32</v>
      </c>
      <c r="B78" s="132" t="s">
        <v>73</v>
      </c>
      <c r="C78" s="121">
        <v>38775</v>
      </c>
      <c r="D78" s="121">
        <v>5410</v>
      </c>
      <c r="E78" s="121">
        <v>0</v>
      </c>
      <c r="F78" s="121">
        <v>0</v>
      </c>
      <c r="G78" s="121">
        <v>5410</v>
      </c>
      <c r="H78" s="121">
        <v>19362</v>
      </c>
      <c r="I78" s="121">
        <v>0</v>
      </c>
      <c r="J78" s="121">
        <v>0</v>
      </c>
      <c r="K78" s="122">
        <v>19362</v>
      </c>
      <c r="L78" s="121">
        <v>14003</v>
      </c>
      <c r="M78" s="121">
        <v>0</v>
      </c>
      <c r="N78" s="121">
        <v>0</v>
      </c>
      <c r="O78" s="122">
        <v>14003</v>
      </c>
    </row>
    <row r="79" spans="1:15" ht="19.5" customHeight="1" x14ac:dyDescent="0.3">
      <c r="A79" s="133" t="s">
        <v>90</v>
      </c>
      <c r="B79" s="132" t="s">
        <v>132</v>
      </c>
      <c r="C79" s="121">
        <v>29572</v>
      </c>
      <c r="D79" s="121">
        <v>0</v>
      </c>
      <c r="E79" s="121">
        <v>3324</v>
      </c>
      <c r="F79" s="121">
        <v>0</v>
      </c>
      <c r="G79" s="121">
        <v>3324</v>
      </c>
      <c r="H79" s="121">
        <v>0</v>
      </c>
      <c r="I79" s="121">
        <v>17479</v>
      </c>
      <c r="J79" s="121">
        <v>0</v>
      </c>
      <c r="K79" s="122">
        <v>17479</v>
      </c>
      <c r="L79" s="121">
        <v>0</v>
      </c>
      <c r="M79" s="121">
        <v>8769</v>
      </c>
      <c r="N79" s="121">
        <v>0</v>
      </c>
      <c r="O79" s="122">
        <v>8769</v>
      </c>
    </row>
    <row r="80" spans="1:15" ht="19.5" customHeight="1" x14ac:dyDescent="0.25">
      <c r="A80" s="134"/>
      <c r="B80" s="134" t="s">
        <v>0</v>
      </c>
      <c r="C80" s="135">
        <v>22360595</v>
      </c>
      <c r="D80" s="135">
        <v>625270</v>
      </c>
      <c r="E80" s="135">
        <v>1006149</v>
      </c>
      <c r="F80" s="135">
        <v>17933</v>
      </c>
      <c r="G80" s="135">
        <v>1649352</v>
      </c>
      <c r="H80" s="135">
        <v>5216173</v>
      </c>
      <c r="I80" s="135">
        <v>11622591</v>
      </c>
      <c r="J80" s="135">
        <v>146307</v>
      </c>
      <c r="K80" s="135">
        <v>16985071</v>
      </c>
      <c r="L80" s="135">
        <v>1046469</v>
      </c>
      <c r="M80" s="135">
        <v>2646189</v>
      </c>
      <c r="N80" s="135">
        <v>33514</v>
      </c>
      <c r="O80" s="135">
        <v>3726172</v>
      </c>
    </row>
    <row r="82" spans="1:15" ht="15.75" x14ac:dyDescent="0.25">
      <c r="A82" s="150" t="s">
        <v>112</v>
      </c>
      <c r="B82" s="150"/>
      <c r="C82" s="150"/>
      <c r="D82" s="150"/>
      <c r="E82" s="150"/>
      <c r="F82" s="150"/>
      <c r="G82" s="150"/>
      <c r="H82" s="150"/>
      <c r="I82" s="150"/>
      <c r="J82" s="150"/>
      <c r="K82" s="150"/>
      <c r="L82" s="150"/>
      <c r="M82" s="150"/>
      <c r="N82" s="150"/>
      <c r="O82" s="150"/>
    </row>
    <row r="83" spans="1:15" ht="15.75" x14ac:dyDescent="0.25">
      <c r="A83" s="136"/>
      <c r="B83" s="136"/>
      <c r="C83" s="136"/>
      <c r="D83" s="136"/>
      <c r="E83" s="136"/>
      <c r="F83" s="136"/>
      <c r="G83" s="136"/>
      <c r="H83" s="136"/>
      <c r="I83" s="136"/>
      <c r="J83" s="136"/>
      <c r="K83" s="136"/>
      <c r="L83" s="136"/>
      <c r="M83" s="136"/>
      <c r="N83" s="136"/>
      <c r="O83" s="136"/>
    </row>
    <row r="84" spans="1:15" s="126" customFormat="1" ht="19.5" customHeight="1" x14ac:dyDescent="0.25">
      <c r="A84" s="144" t="s">
        <v>17</v>
      </c>
      <c r="B84" s="144" t="s">
        <v>33</v>
      </c>
      <c r="C84" s="151" t="s">
        <v>116</v>
      </c>
      <c r="D84" s="144" t="s">
        <v>69</v>
      </c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</row>
    <row r="85" spans="1:15" s="126" customFormat="1" ht="41.25" customHeight="1" x14ac:dyDescent="0.25">
      <c r="A85" s="144"/>
      <c r="B85" s="144"/>
      <c r="C85" s="151"/>
      <c r="D85" s="146" t="s">
        <v>36</v>
      </c>
      <c r="E85" s="146"/>
      <c r="F85" s="146"/>
      <c r="G85" s="146"/>
      <c r="H85" s="147" t="s">
        <v>37</v>
      </c>
      <c r="I85" s="148"/>
      <c r="J85" s="148"/>
      <c r="K85" s="149"/>
      <c r="L85" s="147" t="s">
        <v>38</v>
      </c>
      <c r="M85" s="148"/>
      <c r="N85" s="148"/>
      <c r="O85" s="149"/>
    </row>
    <row r="86" spans="1:15" s="126" customFormat="1" ht="62.25" customHeight="1" x14ac:dyDescent="0.25">
      <c r="A86" s="144"/>
      <c r="B86" s="144"/>
      <c r="C86" s="151"/>
      <c r="D86" s="127" t="s">
        <v>66</v>
      </c>
      <c r="E86" s="127" t="s">
        <v>67</v>
      </c>
      <c r="F86" s="127" t="s">
        <v>68</v>
      </c>
      <c r="G86" s="127" t="s">
        <v>70</v>
      </c>
      <c r="H86" s="128" t="s">
        <v>66</v>
      </c>
      <c r="I86" s="128" t="s">
        <v>67</v>
      </c>
      <c r="J86" s="128" t="s">
        <v>68</v>
      </c>
      <c r="K86" s="128" t="s">
        <v>71</v>
      </c>
      <c r="L86" s="128" t="s">
        <v>66</v>
      </c>
      <c r="M86" s="128" t="s">
        <v>67</v>
      </c>
      <c r="N86" s="128" t="s">
        <v>68</v>
      </c>
      <c r="O86" s="128" t="s">
        <v>72</v>
      </c>
    </row>
    <row r="87" spans="1:15" s="131" customFormat="1" ht="19.5" customHeight="1" x14ac:dyDescent="0.25">
      <c r="A87" s="129">
        <v>1</v>
      </c>
      <c r="B87" s="129">
        <v>2</v>
      </c>
      <c r="C87" s="129">
        <v>3</v>
      </c>
      <c r="D87" s="129">
        <v>4</v>
      </c>
      <c r="E87" s="129">
        <v>5</v>
      </c>
      <c r="F87" s="129">
        <v>6</v>
      </c>
      <c r="G87" s="129">
        <v>7</v>
      </c>
      <c r="H87" s="130">
        <v>8</v>
      </c>
      <c r="I87" s="130">
        <v>9</v>
      </c>
      <c r="J87" s="130">
        <v>10</v>
      </c>
      <c r="K87" s="130">
        <v>11</v>
      </c>
      <c r="L87" s="130">
        <v>12</v>
      </c>
      <c r="M87" s="130">
        <v>13</v>
      </c>
      <c r="N87" s="130">
        <v>14</v>
      </c>
      <c r="O87" s="130">
        <v>15</v>
      </c>
    </row>
    <row r="88" spans="1:15" s="131" customFormat="1" ht="30" customHeight="1" x14ac:dyDescent="0.3">
      <c r="A88" s="129" t="s">
        <v>16</v>
      </c>
      <c r="B88" s="132" t="s">
        <v>15</v>
      </c>
      <c r="C88" s="121">
        <v>18826276</v>
      </c>
      <c r="D88" s="121">
        <v>651593</v>
      </c>
      <c r="E88" s="121">
        <v>1526303</v>
      </c>
      <c r="F88" s="121">
        <v>31932</v>
      </c>
      <c r="G88" s="121">
        <v>2209828</v>
      </c>
      <c r="H88" s="122">
        <v>3542407</v>
      </c>
      <c r="I88" s="122">
        <v>8297792</v>
      </c>
      <c r="J88" s="122">
        <v>173600</v>
      </c>
      <c r="K88" s="122">
        <v>12013799</v>
      </c>
      <c r="L88" s="122">
        <v>1357144</v>
      </c>
      <c r="M88" s="122">
        <v>3178996</v>
      </c>
      <c r="N88" s="122">
        <v>66509</v>
      </c>
      <c r="O88" s="122">
        <v>4602649</v>
      </c>
    </row>
    <row r="89" spans="1:15" ht="37.5" customHeight="1" x14ac:dyDescent="0.3">
      <c r="A89" s="133" t="s">
        <v>24</v>
      </c>
      <c r="B89" s="132" t="s">
        <v>14</v>
      </c>
      <c r="C89" s="121">
        <v>803368</v>
      </c>
      <c r="D89" s="121">
        <v>53192</v>
      </c>
      <c r="E89" s="121">
        <v>40665</v>
      </c>
      <c r="F89" s="121">
        <v>0</v>
      </c>
      <c r="G89" s="121">
        <v>93857</v>
      </c>
      <c r="H89" s="122">
        <v>277600</v>
      </c>
      <c r="I89" s="122">
        <v>212221</v>
      </c>
      <c r="J89" s="122">
        <v>0</v>
      </c>
      <c r="K89" s="122">
        <v>489821</v>
      </c>
      <c r="L89" s="122">
        <v>124506</v>
      </c>
      <c r="M89" s="122">
        <v>95184</v>
      </c>
      <c r="N89" s="122">
        <v>0</v>
      </c>
      <c r="O89" s="122">
        <v>219690</v>
      </c>
    </row>
    <row r="90" spans="1:15" ht="33" customHeight="1" x14ac:dyDescent="0.3">
      <c r="A90" s="133" t="s">
        <v>23</v>
      </c>
      <c r="B90" s="132" t="s">
        <v>13</v>
      </c>
      <c r="C90" s="121">
        <v>7228131</v>
      </c>
      <c r="D90" s="121">
        <v>0</v>
      </c>
      <c r="E90" s="121">
        <v>654508</v>
      </c>
      <c r="F90" s="121">
        <v>0</v>
      </c>
      <c r="G90" s="121">
        <v>654508</v>
      </c>
      <c r="H90" s="122">
        <v>0</v>
      </c>
      <c r="I90" s="122">
        <v>4967171</v>
      </c>
      <c r="J90" s="122">
        <v>0</v>
      </c>
      <c r="K90" s="122">
        <v>4967171</v>
      </c>
      <c r="L90" s="122">
        <v>0</v>
      </c>
      <c r="M90" s="122">
        <v>1606452</v>
      </c>
      <c r="N90" s="122">
        <v>0</v>
      </c>
      <c r="O90" s="122">
        <v>1606452</v>
      </c>
    </row>
    <row r="91" spans="1:15" ht="34.5" customHeight="1" x14ac:dyDescent="0.3">
      <c r="A91" s="133" t="s">
        <v>22</v>
      </c>
      <c r="B91" s="132" t="s">
        <v>12</v>
      </c>
      <c r="C91" s="121">
        <v>716258</v>
      </c>
      <c r="D91" s="121">
        <v>73323</v>
      </c>
      <c r="E91" s="121">
        <v>0</v>
      </c>
      <c r="F91" s="121">
        <v>0</v>
      </c>
      <c r="G91" s="121">
        <v>73323</v>
      </c>
      <c r="H91" s="122">
        <v>478653</v>
      </c>
      <c r="I91" s="122">
        <v>0</v>
      </c>
      <c r="J91" s="122">
        <v>0</v>
      </c>
      <c r="K91" s="122">
        <v>478653</v>
      </c>
      <c r="L91" s="122">
        <v>164282</v>
      </c>
      <c r="M91" s="122">
        <v>0</v>
      </c>
      <c r="N91" s="122">
        <v>0</v>
      </c>
      <c r="O91" s="122">
        <v>164282</v>
      </c>
    </row>
    <row r="92" spans="1:15" ht="52.5" customHeight="1" x14ac:dyDescent="0.3">
      <c r="A92" s="133" t="s">
        <v>21</v>
      </c>
      <c r="B92" s="132" t="s">
        <v>11</v>
      </c>
      <c r="C92" s="121">
        <v>0</v>
      </c>
      <c r="D92" s="121">
        <v>0</v>
      </c>
      <c r="E92" s="121">
        <v>0</v>
      </c>
      <c r="F92" s="121">
        <v>0</v>
      </c>
      <c r="G92" s="121">
        <v>0</v>
      </c>
      <c r="H92" s="122">
        <v>0</v>
      </c>
      <c r="I92" s="122">
        <v>0</v>
      </c>
      <c r="J92" s="122">
        <v>0</v>
      </c>
      <c r="K92" s="122">
        <v>0</v>
      </c>
      <c r="L92" s="122">
        <v>0</v>
      </c>
      <c r="M92" s="122">
        <v>0</v>
      </c>
      <c r="N92" s="122">
        <v>0</v>
      </c>
      <c r="O92" s="122">
        <v>0</v>
      </c>
    </row>
    <row r="93" spans="1:15" ht="19.5" customHeight="1" x14ac:dyDescent="0.3">
      <c r="A93" s="133" t="s">
        <v>20</v>
      </c>
      <c r="B93" s="132" t="s">
        <v>34</v>
      </c>
      <c r="C93" s="121">
        <v>564639</v>
      </c>
      <c r="D93" s="121">
        <v>64329</v>
      </c>
      <c r="E93" s="121">
        <v>0</v>
      </c>
      <c r="F93" s="121">
        <v>0</v>
      </c>
      <c r="G93" s="121">
        <v>64329</v>
      </c>
      <c r="H93" s="122">
        <v>335729</v>
      </c>
      <c r="I93" s="122">
        <v>0</v>
      </c>
      <c r="J93" s="122">
        <v>0</v>
      </c>
      <c r="K93" s="122">
        <v>335729</v>
      </c>
      <c r="L93" s="122">
        <v>164581</v>
      </c>
      <c r="M93" s="122">
        <v>0</v>
      </c>
      <c r="N93" s="122">
        <v>0</v>
      </c>
      <c r="O93" s="122">
        <v>164581</v>
      </c>
    </row>
    <row r="94" spans="1:15" ht="32.25" customHeight="1" x14ac:dyDescent="0.3">
      <c r="A94" s="133" t="s">
        <v>19</v>
      </c>
      <c r="B94" s="132" t="s">
        <v>10</v>
      </c>
      <c r="C94" s="121">
        <v>2515117</v>
      </c>
      <c r="D94" s="121">
        <v>80291</v>
      </c>
      <c r="E94" s="121">
        <v>104380</v>
      </c>
      <c r="F94" s="121">
        <v>5572</v>
      </c>
      <c r="G94" s="121">
        <v>190243</v>
      </c>
      <c r="H94" s="122">
        <v>728928</v>
      </c>
      <c r="I94" s="122">
        <v>947620</v>
      </c>
      <c r="J94" s="122">
        <v>50582</v>
      </c>
      <c r="K94" s="122">
        <v>1727130</v>
      </c>
      <c r="L94" s="122">
        <v>252274</v>
      </c>
      <c r="M94" s="122">
        <v>327963</v>
      </c>
      <c r="N94" s="122">
        <v>17507</v>
      </c>
      <c r="O94" s="122">
        <v>597744</v>
      </c>
    </row>
    <row r="95" spans="1:15" ht="19.5" customHeight="1" x14ac:dyDescent="0.3">
      <c r="A95" s="133" t="s">
        <v>18</v>
      </c>
      <c r="B95" s="132" t="s">
        <v>9</v>
      </c>
      <c r="C95" s="121">
        <v>2048850</v>
      </c>
      <c r="D95" s="121">
        <v>480976</v>
      </c>
      <c r="E95" s="121">
        <v>157386</v>
      </c>
      <c r="F95" s="121">
        <v>7128</v>
      </c>
      <c r="G95" s="121">
        <v>645490</v>
      </c>
      <c r="H95" s="122">
        <v>1031215</v>
      </c>
      <c r="I95" s="122">
        <v>337438</v>
      </c>
      <c r="J95" s="122">
        <v>15282</v>
      </c>
      <c r="K95" s="122">
        <v>1383935</v>
      </c>
      <c r="L95" s="122">
        <v>13748</v>
      </c>
      <c r="M95" s="122">
        <v>4500</v>
      </c>
      <c r="N95" s="122">
        <v>1177</v>
      </c>
      <c r="O95" s="122">
        <v>19425</v>
      </c>
    </row>
    <row r="96" spans="1:15" ht="19.5" customHeight="1" x14ac:dyDescent="0.3">
      <c r="A96" s="133" t="s">
        <v>25</v>
      </c>
      <c r="B96" s="132" t="s">
        <v>8</v>
      </c>
      <c r="C96" s="121">
        <v>6151155</v>
      </c>
      <c r="D96" s="121">
        <v>34968</v>
      </c>
      <c r="E96" s="121">
        <v>143046</v>
      </c>
      <c r="F96" s="121">
        <v>0</v>
      </c>
      <c r="G96" s="121">
        <v>178014</v>
      </c>
      <c r="H96" s="122">
        <v>677354</v>
      </c>
      <c r="I96" s="122">
        <v>2770923</v>
      </c>
      <c r="J96" s="122">
        <v>0</v>
      </c>
      <c r="K96" s="122">
        <v>3448277</v>
      </c>
      <c r="L96" s="122">
        <v>495966</v>
      </c>
      <c r="M96" s="122">
        <v>2028898</v>
      </c>
      <c r="N96" s="122">
        <v>0</v>
      </c>
      <c r="O96" s="122">
        <v>2524864</v>
      </c>
    </row>
    <row r="97" spans="1:15" ht="19.5" customHeight="1" x14ac:dyDescent="0.3">
      <c r="A97" s="133" t="s">
        <v>26</v>
      </c>
      <c r="B97" s="132" t="s">
        <v>7</v>
      </c>
      <c r="C97" s="121">
        <v>19754138</v>
      </c>
      <c r="D97" s="121">
        <v>41346</v>
      </c>
      <c r="E97" s="121">
        <v>171604</v>
      </c>
      <c r="F97" s="121">
        <v>0</v>
      </c>
      <c r="G97" s="121">
        <v>212950</v>
      </c>
      <c r="H97" s="122">
        <v>3637957</v>
      </c>
      <c r="I97" s="122">
        <v>15099237</v>
      </c>
      <c r="J97" s="122">
        <v>0</v>
      </c>
      <c r="K97" s="122">
        <v>18737194</v>
      </c>
      <c r="L97" s="122">
        <v>156101</v>
      </c>
      <c r="M97" s="122">
        <v>647893</v>
      </c>
      <c r="N97" s="122">
        <v>0</v>
      </c>
      <c r="O97" s="122">
        <v>803994</v>
      </c>
    </row>
    <row r="98" spans="1:15" ht="19.5" customHeight="1" x14ac:dyDescent="0.3">
      <c r="A98" s="133" t="s">
        <v>27</v>
      </c>
      <c r="B98" s="132" t="s">
        <v>6</v>
      </c>
      <c r="C98" s="121">
        <v>3983695</v>
      </c>
      <c r="D98" s="121">
        <v>5938</v>
      </c>
      <c r="E98" s="121">
        <v>3726</v>
      </c>
      <c r="F98" s="121">
        <v>760</v>
      </c>
      <c r="G98" s="121">
        <v>10424</v>
      </c>
      <c r="H98" s="122">
        <v>2356287</v>
      </c>
      <c r="I98" s="122">
        <v>1478591</v>
      </c>
      <c r="J98" s="122">
        <v>131789</v>
      </c>
      <c r="K98" s="122">
        <v>3966667</v>
      </c>
      <c r="L98" s="122">
        <v>3762</v>
      </c>
      <c r="M98" s="122">
        <v>2361</v>
      </c>
      <c r="N98" s="122">
        <v>481</v>
      </c>
      <c r="O98" s="122">
        <v>6604</v>
      </c>
    </row>
    <row r="99" spans="1:15" ht="19.5" customHeight="1" x14ac:dyDescent="0.3">
      <c r="A99" s="133" t="s">
        <v>28</v>
      </c>
      <c r="B99" s="132" t="s">
        <v>5</v>
      </c>
      <c r="C99" s="121">
        <v>2208952</v>
      </c>
      <c r="D99" s="121">
        <v>173937</v>
      </c>
      <c r="E99" s="121">
        <v>144720</v>
      </c>
      <c r="F99" s="121">
        <v>5485</v>
      </c>
      <c r="G99" s="121">
        <v>324142</v>
      </c>
      <c r="H99" s="122">
        <v>998518</v>
      </c>
      <c r="I99" s="122">
        <v>830790</v>
      </c>
      <c r="J99" s="122">
        <v>31492</v>
      </c>
      <c r="K99" s="122">
        <v>1860800</v>
      </c>
      <c r="L99" s="122">
        <v>12884</v>
      </c>
      <c r="M99" s="122">
        <v>10719</v>
      </c>
      <c r="N99" s="122">
        <v>407</v>
      </c>
      <c r="O99" s="122">
        <v>24010</v>
      </c>
    </row>
    <row r="100" spans="1:15" ht="19.5" customHeight="1" x14ac:dyDescent="0.3">
      <c r="A100" s="133" t="s">
        <v>29</v>
      </c>
      <c r="B100" s="132" t="s">
        <v>4</v>
      </c>
      <c r="C100" s="121">
        <v>1795307</v>
      </c>
      <c r="D100" s="121">
        <v>31696</v>
      </c>
      <c r="E100" s="121">
        <v>39506</v>
      </c>
      <c r="F100" s="121">
        <v>0</v>
      </c>
      <c r="G100" s="121">
        <v>71202</v>
      </c>
      <c r="H100" s="122">
        <v>762858</v>
      </c>
      <c r="I100" s="122">
        <v>950870</v>
      </c>
      <c r="J100" s="122">
        <v>0</v>
      </c>
      <c r="K100" s="122">
        <v>1713728</v>
      </c>
      <c r="L100" s="122">
        <v>4619</v>
      </c>
      <c r="M100" s="122">
        <v>5758</v>
      </c>
      <c r="N100" s="122">
        <v>0</v>
      </c>
      <c r="O100" s="122">
        <v>10377</v>
      </c>
    </row>
    <row r="101" spans="1:15" ht="19.5" customHeight="1" x14ac:dyDescent="0.3">
      <c r="A101" s="133">
        <v>14</v>
      </c>
      <c r="B101" s="132" t="s">
        <v>3</v>
      </c>
      <c r="C101" s="121">
        <v>1565888</v>
      </c>
      <c r="D101" s="121">
        <v>56733</v>
      </c>
      <c r="E101" s="121">
        <v>27358</v>
      </c>
      <c r="F101" s="121">
        <v>2565</v>
      </c>
      <c r="G101" s="121">
        <v>86656</v>
      </c>
      <c r="H101" s="122">
        <v>760698</v>
      </c>
      <c r="I101" s="122">
        <v>366834</v>
      </c>
      <c r="J101" s="122">
        <v>34390</v>
      </c>
      <c r="K101" s="122">
        <v>1161922</v>
      </c>
      <c r="L101" s="122">
        <v>207741</v>
      </c>
      <c r="M101" s="122">
        <v>100178</v>
      </c>
      <c r="N101" s="122">
        <v>9391</v>
      </c>
      <c r="O101" s="122">
        <v>317310</v>
      </c>
    </row>
    <row r="102" spans="1:15" ht="100.5" customHeight="1" x14ac:dyDescent="0.3">
      <c r="A102" s="133" t="s">
        <v>30</v>
      </c>
      <c r="B102" s="132" t="s">
        <v>130</v>
      </c>
      <c r="C102" s="121">
        <v>388347</v>
      </c>
      <c r="D102" s="121">
        <v>11340</v>
      </c>
      <c r="E102" s="121">
        <v>0</v>
      </c>
      <c r="F102" s="121">
        <v>0</v>
      </c>
      <c r="G102" s="121">
        <v>11340</v>
      </c>
      <c r="H102" s="122">
        <v>349620</v>
      </c>
      <c r="I102" s="122">
        <v>0</v>
      </c>
      <c r="J102" s="122">
        <v>0</v>
      </c>
      <c r="K102" s="122">
        <v>349620</v>
      </c>
      <c r="L102" s="122">
        <v>27387</v>
      </c>
      <c r="M102" s="122">
        <v>0</v>
      </c>
      <c r="N102" s="122">
        <v>0</v>
      </c>
      <c r="O102" s="122">
        <v>27387</v>
      </c>
    </row>
    <row r="103" spans="1:15" ht="99.75" customHeight="1" x14ac:dyDescent="0.3">
      <c r="A103" s="133" t="s">
        <v>31</v>
      </c>
      <c r="B103" s="132" t="s">
        <v>131</v>
      </c>
      <c r="C103" s="121">
        <v>299498</v>
      </c>
      <c r="D103" s="121">
        <v>21875</v>
      </c>
      <c r="E103" s="121">
        <v>0</v>
      </c>
      <c r="F103" s="121">
        <v>0</v>
      </c>
      <c r="G103" s="121">
        <v>21875</v>
      </c>
      <c r="H103" s="122">
        <v>268315</v>
      </c>
      <c r="I103" s="122">
        <v>0</v>
      </c>
      <c r="J103" s="122">
        <v>0</v>
      </c>
      <c r="K103" s="122">
        <v>268315</v>
      </c>
      <c r="L103" s="122">
        <v>9308</v>
      </c>
      <c r="M103" s="122">
        <v>0</v>
      </c>
      <c r="N103" s="122">
        <v>0</v>
      </c>
      <c r="O103" s="122">
        <v>9308</v>
      </c>
    </row>
    <row r="104" spans="1:15" ht="19.5" customHeight="1" x14ac:dyDescent="0.3">
      <c r="A104" s="133" t="s">
        <v>32</v>
      </c>
      <c r="B104" s="132" t="s">
        <v>73</v>
      </c>
      <c r="C104" s="121">
        <v>134988</v>
      </c>
      <c r="D104" s="121">
        <v>18834</v>
      </c>
      <c r="E104" s="121">
        <v>0</v>
      </c>
      <c r="F104" s="121">
        <v>0</v>
      </c>
      <c r="G104" s="121">
        <v>18834</v>
      </c>
      <c r="H104" s="122">
        <v>67405</v>
      </c>
      <c r="I104" s="122">
        <v>0</v>
      </c>
      <c r="J104" s="122">
        <v>0</v>
      </c>
      <c r="K104" s="122">
        <v>67405</v>
      </c>
      <c r="L104" s="122">
        <v>48749</v>
      </c>
      <c r="M104" s="122">
        <v>0</v>
      </c>
      <c r="N104" s="122">
        <v>0</v>
      </c>
      <c r="O104" s="122">
        <v>48749</v>
      </c>
    </row>
    <row r="105" spans="1:15" ht="19.5" customHeight="1" x14ac:dyDescent="0.3">
      <c r="A105" s="133" t="s">
        <v>90</v>
      </c>
      <c r="B105" s="132" t="s">
        <v>132</v>
      </c>
      <c r="C105" s="121">
        <v>88716</v>
      </c>
      <c r="D105" s="121">
        <v>0</v>
      </c>
      <c r="E105" s="121">
        <v>9972</v>
      </c>
      <c r="F105" s="121">
        <v>0</v>
      </c>
      <c r="G105" s="121">
        <v>9972</v>
      </c>
      <c r="H105" s="122">
        <v>0</v>
      </c>
      <c r="I105" s="122">
        <v>52437</v>
      </c>
      <c r="J105" s="122">
        <v>0</v>
      </c>
      <c r="K105" s="122">
        <v>52437</v>
      </c>
      <c r="L105" s="122">
        <v>0</v>
      </c>
      <c r="M105" s="122">
        <v>26307</v>
      </c>
      <c r="N105" s="122">
        <v>0</v>
      </c>
      <c r="O105" s="122">
        <v>26307</v>
      </c>
    </row>
    <row r="106" spans="1:15" ht="19.5" customHeight="1" x14ac:dyDescent="0.25">
      <c r="A106" s="134"/>
      <c r="B106" s="134" t="s">
        <v>0</v>
      </c>
      <c r="C106" s="135">
        <v>69073323</v>
      </c>
      <c r="D106" s="135">
        <v>1800371</v>
      </c>
      <c r="E106" s="135">
        <v>3023174</v>
      </c>
      <c r="F106" s="135">
        <v>53442</v>
      </c>
      <c r="G106" s="135">
        <v>4876987</v>
      </c>
      <c r="H106" s="135">
        <v>16273544</v>
      </c>
      <c r="I106" s="135">
        <v>36311924</v>
      </c>
      <c r="J106" s="135">
        <v>437135</v>
      </c>
      <c r="K106" s="135">
        <v>53022603</v>
      </c>
      <c r="L106" s="135">
        <v>3043052</v>
      </c>
      <c r="M106" s="135">
        <v>8035209</v>
      </c>
      <c r="N106" s="135">
        <v>95472</v>
      </c>
      <c r="O106" s="135">
        <v>11173733</v>
      </c>
    </row>
    <row r="108" spans="1:15" ht="15.75" x14ac:dyDescent="0.25">
      <c r="A108" s="150" t="s">
        <v>112</v>
      </c>
      <c r="B108" s="150"/>
      <c r="C108" s="150"/>
      <c r="D108" s="150"/>
      <c r="E108" s="150"/>
      <c r="F108" s="150"/>
      <c r="G108" s="150"/>
      <c r="H108" s="150"/>
      <c r="I108" s="150"/>
      <c r="J108" s="150"/>
      <c r="K108" s="150"/>
      <c r="L108" s="150"/>
      <c r="M108" s="150"/>
      <c r="N108" s="150"/>
      <c r="O108" s="150"/>
    </row>
    <row r="109" spans="1:15" ht="15.75" x14ac:dyDescent="0.25">
      <c r="A109" s="136"/>
      <c r="B109" s="136"/>
      <c r="C109" s="136"/>
      <c r="D109" s="136"/>
      <c r="E109" s="136"/>
      <c r="F109" s="136"/>
      <c r="G109" s="136"/>
      <c r="H109" s="136"/>
      <c r="I109" s="136"/>
      <c r="J109" s="136"/>
      <c r="K109" s="136"/>
      <c r="L109" s="136"/>
      <c r="M109" s="136"/>
      <c r="N109" s="136"/>
      <c r="O109" s="136"/>
    </row>
    <row r="110" spans="1:15" s="126" customFormat="1" ht="19.5" customHeight="1" x14ac:dyDescent="0.25">
      <c r="A110" s="144" t="s">
        <v>17</v>
      </c>
      <c r="B110" s="144" t="s">
        <v>33</v>
      </c>
      <c r="C110" s="144" t="s">
        <v>117</v>
      </c>
      <c r="D110" s="144" t="s">
        <v>69</v>
      </c>
      <c r="E110" s="144"/>
      <c r="F110" s="144"/>
      <c r="G110" s="144"/>
      <c r="H110" s="144"/>
      <c r="I110" s="144"/>
      <c r="J110" s="144"/>
      <c r="K110" s="144"/>
      <c r="L110" s="144"/>
      <c r="M110" s="144"/>
      <c r="N110" s="144"/>
      <c r="O110" s="144"/>
    </row>
    <row r="111" spans="1:15" s="126" customFormat="1" ht="37.5" customHeight="1" x14ac:dyDescent="0.25">
      <c r="A111" s="144"/>
      <c r="B111" s="144"/>
      <c r="C111" s="144"/>
      <c r="D111" s="146" t="s">
        <v>36</v>
      </c>
      <c r="E111" s="146"/>
      <c r="F111" s="146"/>
      <c r="G111" s="146"/>
      <c r="H111" s="147" t="s">
        <v>37</v>
      </c>
      <c r="I111" s="148"/>
      <c r="J111" s="148"/>
      <c r="K111" s="149"/>
      <c r="L111" s="147" t="s">
        <v>38</v>
      </c>
      <c r="M111" s="148"/>
      <c r="N111" s="148"/>
      <c r="O111" s="149"/>
    </row>
    <row r="112" spans="1:15" s="126" customFormat="1" ht="62.25" customHeight="1" x14ac:dyDescent="0.25">
      <c r="A112" s="144"/>
      <c r="B112" s="144"/>
      <c r="C112" s="144"/>
      <c r="D112" s="127" t="s">
        <v>66</v>
      </c>
      <c r="E112" s="127" t="s">
        <v>67</v>
      </c>
      <c r="F112" s="127" t="s">
        <v>68</v>
      </c>
      <c r="G112" s="127" t="s">
        <v>70</v>
      </c>
      <c r="H112" s="128" t="s">
        <v>66</v>
      </c>
      <c r="I112" s="128" t="s">
        <v>67</v>
      </c>
      <c r="J112" s="128" t="s">
        <v>68</v>
      </c>
      <c r="K112" s="128" t="s">
        <v>71</v>
      </c>
      <c r="L112" s="128" t="s">
        <v>66</v>
      </c>
      <c r="M112" s="128" t="s">
        <v>67</v>
      </c>
      <c r="N112" s="128" t="s">
        <v>68</v>
      </c>
      <c r="O112" s="128" t="s">
        <v>72</v>
      </c>
    </row>
    <row r="113" spans="1:15" s="131" customFormat="1" ht="19.5" customHeight="1" x14ac:dyDescent="0.25">
      <c r="A113" s="129">
        <v>1</v>
      </c>
      <c r="B113" s="129">
        <v>2</v>
      </c>
      <c r="C113" s="129">
        <v>3</v>
      </c>
      <c r="D113" s="129">
        <v>4</v>
      </c>
      <c r="E113" s="129">
        <v>5</v>
      </c>
      <c r="F113" s="129">
        <v>6</v>
      </c>
      <c r="G113" s="129">
        <v>7</v>
      </c>
      <c r="H113" s="130">
        <v>8</v>
      </c>
      <c r="I113" s="130">
        <v>9</v>
      </c>
      <c r="J113" s="130">
        <v>10</v>
      </c>
      <c r="K113" s="130">
        <v>11</v>
      </c>
      <c r="L113" s="130">
        <v>12</v>
      </c>
      <c r="M113" s="130">
        <v>13</v>
      </c>
      <c r="N113" s="130">
        <v>14</v>
      </c>
      <c r="O113" s="130">
        <v>15</v>
      </c>
    </row>
    <row r="114" spans="1:15" s="131" customFormat="1" ht="26.25" customHeight="1" x14ac:dyDescent="0.3">
      <c r="A114" s="129" t="s">
        <v>16</v>
      </c>
      <c r="B114" s="132" t="s">
        <v>15</v>
      </c>
      <c r="C114" s="121">
        <v>4801741</v>
      </c>
      <c r="D114" s="121">
        <v>165706</v>
      </c>
      <c r="E114" s="121">
        <v>389491</v>
      </c>
      <c r="F114" s="121">
        <v>8431</v>
      </c>
      <c r="G114" s="121">
        <v>563628</v>
      </c>
      <c r="H114" s="121">
        <v>900864</v>
      </c>
      <c r="I114" s="121">
        <v>2117481</v>
      </c>
      <c r="J114" s="121">
        <v>45838</v>
      </c>
      <c r="K114" s="122">
        <v>3064183</v>
      </c>
      <c r="L114" s="121">
        <v>345133</v>
      </c>
      <c r="M114" s="121">
        <v>811236</v>
      </c>
      <c r="N114" s="121">
        <v>17561</v>
      </c>
      <c r="O114" s="122">
        <v>1173930</v>
      </c>
    </row>
    <row r="115" spans="1:15" ht="30" customHeight="1" x14ac:dyDescent="0.3">
      <c r="A115" s="133" t="s">
        <v>24</v>
      </c>
      <c r="B115" s="132" t="s">
        <v>14</v>
      </c>
      <c r="C115" s="121">
        <v>462276</v>
      </c>
      <c r="D115" s="121">
        <v>30340</v>
      </c>
      <c r="E115" s="121">
        <v>23667</v>
      </c>
      <c r="F115" s="121">
        <v>0</v>
      </c>
      <c r="G115" s="121">
        <v>54007</v>
      </c>
      <c r="H115" s="121">
        <v>158339</v>
      </c>
      <c r="I115" s="121">
        <v>123516</v>
      </c>
      <c r="J115" s="121">
        <v>0</v>
      </c>
      <c r="K115" s="122">
        <v>281855</v>
      </c>
      <c r="L115" s="121">
        <v>71016</v>
      </c>
      <c r="M115" s="121">
        <v>55398</v>
      </c>
      <c r="N115" s="121">
        <v>0</v>
      </c>
      <c r="O115" s="122">
        <v>126414</v>
      </c>
    </row>
    <row r="116" spans="1:15" ht="32.25" customHeight="1" x14ac:dyDescent="0.3">
      <c r="A116" s="133" t="s">
        <v>23</v>
      </c>
      <c r="B116" s="132" t="s">
        <v>13</v>
      </c>
      <c r="C116" s="121">
        <v>1639642</v>
      </c>
      <c r="D116" s="121">
        <v>0</v>
      </c>
      <c r="E116" s="121">
        <v>148470</v>
      </c>
      <c r="F116" s="121">
        <v>0</v>
      </c>
      <c r="G116" s="121">
        <v>148470</v>
      </c>
      <c r="H116" s="121">
        <v>0</v>
      </c>
      <c r="I116" s="121">
        <v>1126762</v>
      </c>
      <c r="J116" s="121">
        <v>0</v>
      </c>
      <c r="K116" s="122">
        <v>1126762</v>
      </c>
      <c r="L116" s="121">
        <v>0</v>
      </c>
      <c r="M116" s="121">
        <v>364410</v>
      </c>
      <c r="N116" s="121">
        <v>0</v>
      </c>
      <c r="O116" s="122">
        <v>364410</v>
      </c>
    </row>
    <row r="117" spans="1:15" ht="29.25" customHeight="1" x14ac:dyDescent="0.3">
      <c r="A117" s="133" t="s">
        <v>22</v>
      </c>
      <c r="B117" s="132" t="s">
        <v>12</v>
      </c>
      <c r="C117" s="121">
        <v>185372</v>
      </c>
      <c r="D117" s="121">
        <v>18976</v>
      </c>
      <c r="E117" s="121">
        <v>0</v>
      </c>
      <c r="F117" s="121">
        <v>0</v>
      </c>
      <c r="G117" s="121">
        <v>18976</v>
      </c>
      <c r="H117" s="121">
        <v>123879</v>
      </c>
      <c r="I117" s="121">
        <v>0</v>
      </c>
      <c r="J117" s="121">
        <v>0</v>
      </c>
      <c r="K117" s="122">
        <v>123879</v>
      </c>
      <c r="L117" s="121">
        <v>42517</v>
      </c>
      <c r="M117" s="121">
        <v>0</v>
      </c>
      <c r="N117" s="121">
        <v>0</v>
      </c>
      <c r="O117" s="122">
        <v>42517</v>
      </c>
    </row>
    <row r="118" spans="1:15" ht="42" customHeight="1" x14ac:dyDescent="0.3">
      <c r="A118" s="133" t="s">
        <v>21</v>
      </c>
      <c r="B118" s="132" t="s">
        <v>11</v>
      </c>
      <c r="C118" s="121">
        <v>310559</v>
      </c>
      <c r="D118" s="121">
        <v>11525</v>
      </c>
      <c r="E118" s="121">
        <v>14137</v>
      </c>
      <c r="F118" s="121">
        <v>3574</v>
      </c>
      <c r="G118" s="121">
        <v>29236</v>
      </c>
      <c r="H118" s="121">
        <v>81770</v>
      </c>
      <c r="I118" s="121">
        <v>100305</v>
      </c>
      <c r="J118" s="121">
        <v>25363</v>
      </c>
      <c r="K118" s="122">
        <v>207438</v>
      </c>
      <c r="L118" s="121">
        <v>29125</v>
      </c>
      <c r="M118" s="121">
        <v>35726</v>
      </c>
      <c r="N118" s="121">
        <v>9034</v>
      </c>
      <c r="O118" s="122">
        <v>73885</v>
      </c>
    </row>
    <row r="119" spans="1:15" ht="19.5" customHeight="1" x14ac:dyDescent="0.3">
      <c r="A119" s="133" t="s">
        <v>20</v>
      </c>
      <c r="B119" s="132" t="s">
        <v>34</v>
      </c>
      <c r="C119" s="121">
        <v>309153</v>
      </c>
      <c r="D119" s="121">
        <v>35222</v>
      </c>
      <c r="E119" s="121">
        <v>0</v>
      </c>
      <c r="F119" s="121">
        <v>0</v>
      </c>
      <c r="G119" s="121">
        <v>35222</v>
      </c>
      <c r="H119" s="121">
        <v>183819</v>
      </c>
      <c r="I119" s="121">
        <v>0</v>
      </c>
      <c r="J119" s="121">
        <v>0</v>
      </c>
      <c r="K119" s="122">
        <v>183819</v>
      </c>
      <c r="L119" s="121">
        <v>90112</v>
      </c>
      <c r="M119" s="121">
        <v>0</v>
      </c>
      <c r="N119" s="121">
        <v>0</v>
      </c>
      <c r="O119" s="122">
        <v>90112</v>
      </c>
    </row>
    <row r="120" spans="1:15" ht="33" customHeight="1" x14ac:dyDescent="0.3">
      <c r="A120" s="133" t="s">
        <v>19</v>
      </c>
      <c r="B120" s="132" t="s">
        <v>10</v>
      </c>
      <c r="C120" s="121">
        <v>1288508</v>
      </c>
      <c r="D120" s="121">
        <v>40715</v>
      </c>
      <c r="E120" s="121">
        <v>53843</v>
      </c>
      <c r="F120" s="121">
        <v>2905</v>
      </c>
      <c r="G120" s="121">
        <v>97463</v>
      </c>
      <c r="H120" s="121">
        <v>369631</v>
      </c>
      <c r="I120" s="121">
        <v>488815</v>
      </c>
      <c r="J120" s="121">
        <v>26372</v>
      </c>
      <c r="K120" s="122">
        <v>884818</v>
      </c>
      <c r="L120" s="121">
        <v>127926</v>
      </c>
      <c r="M120" s="121">
        <v>169174</v>
      </c>
      <c r="N120" s="121">
        <v>9127</v>
      </c>
      <c r="O120" s="122">
        <v>306227</v>
      </c>
    </row>
    <row r="121" spans="1:15" ht="19.5" customHeight="1" x14ac:dyDescent="0.3">
      <c r="A121" s="133" t="s">
        <v>18</v>
      </c>
      <c r="B121" s="132" t="s">
        <v>9</v>
      </c>
      <c r="C121" s="121">
        <v>1106725</v>
      </c>
      <c r="D121" s="121">
        <v>222165</v>
      </c>
      <c r="E121" s="121">
        <v>121450</v>
      </c>
      <c r="F121" s="121">
        <v>5271</v>
      </c>
      <c r="G121" s="121">
        <v>348886</v>
      </c>
      <c r="H121" s="121">
        <v>476323</v>
      </c>
      <c r="I121" s="121">
        <v>260391</v>
      </c>
      <c r="J121" s="121">
        <v>11302</v>
      </c>
      <c r="K121" s="122">
        <v>748016</v>
      </c>
      <c r="L121" s="121">
        <v>6351</v>
      </c>
      <c r="M121" s="121">
        <v>3472</v>
      </c>
      <c r="N121" s="121">
        <v>0</v>
      </c>
      <c r="O121" s="122">
        <v>9823</v>
      </c>
    </row>
    <row r="122" spans="1:15" ht="19.5" customHeight="1" x14ac:dyDescent="0.3">
      <c r="A122" s="133" t="s">
        <v>25</v>
      </c>
      <c r="B122" s="132" t="s">
        <v>8</v>
      </c>
      <c r="C122" s="121">
        <v>1476992</v>
      </c>
      <c r="D122" s="121">
        <v>9553</v>
      </c>
      <c r="E122" s="121">
        <v>33191</v>
      </c>
      <c r="F122" s="121">
        <v>0</v>
      </c>
      <c r="G122" s="121">
        <v>42744</v>
      </c>
      <c r="H122" s="121">
        <v>185058</v>
      </c>
      <c r="I122" s="121">
        <v>642929</v>
      </c>
      <c r="J122" s="121">
        <v>0</v>
      </c>
      <c r="K122" s="122">
        <v>827987</v>
      </c>
      <c r="L122" s="121">
        <v>135502</v>
      </c>
      <c r="M122" s="121">
        <v>470759</v>
      </c>
      <c r="N122" s="121">
        <v>0</v>
      </c>
      <c r="O122" s="122">
        <v>606261</v>
      </c>
    </row>
    <row r="123" spans="1:15" ht="19.5" customHeight="1" x14ac:dyDescent="0.3">
      <c r="A123" s="133" t="s">
        <v>26</v>
      </c>
      <c r="B123" s="132" t="s">
        <v>7</v>
      </c>
      <c r="C123" s="121">
        <v>10846764</v>
      </c>
      <c r="D123" s="121">
        <v>8647</v>
      </c>
      <c r="E123" s="121">
        <v>108281</v>
      </c>
      <c r="F123" s="121">
        <v>0</v>
      </c>
      <c r="G123" s="121">
        <v>116928</v>
      </c>
      <c r="H123" s="121">
        <v>760845</v>
      </c>
      <c r="I123" s="121">
        <v>9527528</v>
      </c>
      <c r="J123" s="121">
        <v>0</v>
      </c>
      <c r="K123" s="122">
        <v>10288373</v>
      </c>
      <c r="L123" s="121">
        <v>32647</v>
      </c>
      <c r="M123" s="121">
        <v>408816</v>
      </c>
      <c r="N123" s="121">
        <v>0</v>
      </c>
      <c r="O123" s="122">
        <v>441463</v>
      </c>
    </row>
    <row r="124" spans="1:15" ht="19.5" customHeight="1" x14ac:dyDescent="0.3">
      <c r="A124" s="133" t="s">
        <v>27</v>
      </c>
      <c r="B124" s="132" t="s">
        <v>6</v>
      </c>
      <c r="C124" s="121">
        <v>3603484</v>
      </c>
      <c r="D124" s="121">
        <v>2823</v>
      </c>
      <c r="E124" s="121">
        <v>8862</v>
      </c>
      <c r="F124" s="121">
        <v>0</v>
      </c>
      <c r="G124" s="121">
        <v>11685</v>
      </c>
      <c r="H124" s="121">
        <v>549772</v>
      </c>
      <c r="I124" s="121">
        <v>3010891</v>
      </c>
      <c r="J124" s="121">
        <v>23735</v>
      </c>
      <c r="K124" s="122">
        <v>3584398</v>
      </c>
      <c r="L124" s="121">
        <v>1787</v>
      </c>
      <c r="M124" s="121">
        <v>5614</v>
      </c>
      <c r="N124" s="121">
        <v>0</v>
      </c>
      <c r="O124" s="122">
        <v>7401</v>
      </c>
    </row>
    <row r="125" spans="1:15" ht="19.5" customHeight="1" x14ac:dyDescent="0.3">
      <c r="A125" s="133" t="s">
        <v>28</v>
      </c>
      <c r="B125" s="132" t="s">
        <v>5</v>
      </c>
      <c r="C125" s="121">
        <v>993970</v>
      </c>
      <c r="D125" s="121">
        <v>87447</v>
      </c>
      <c r="E125" s="121">
        <v>54188</v>
      </c>
      <c r="F125" s="121">
        <v>4067</v>
      </c>
      <c r="G125" s="121">
        <v>145702</v>
      </c>
      <c r="H125" s="121">
        <v>502010</v>
      </c>
      <c r="I125" s="121">
        <v>311076</v>
      </c>
      <c r="J125" s="121">
        <v>23349</v>
      </c>
      <c r="K125" s="122">
        <v>836435</v>
      </c>
      <c r="L125" s="121">
        <v>6478</v>
      </c>
      <c r="M125" s="121">
        <v>4014</v>
      </c>
      <c r="N125" s="121">
        <v>1341</v>
      </c>
      <c r="O125" s="122">
        <v>11833</v>
      </c>
    </row>
    <row r="126" spans="1:15" ht="19.5" customHeight="1" x14ac:dyDescent="0.3">
      <c r="A126" s="133" t="s">
        <v>29</v>
      </c>
      <c r="B126" s="132" t="s">
        <v>4</v>
      </c>
      <c r="C126" s="121">
        <v>935665</v>
      </c>
      <c r="D126" s="121">
        <v>16519</v>
      </c>
      <c r="E126" s="121">
        <v>20590</v>
      </c>
      <c r="F126" s="121">
        <v>0</v>
      </c>
      <c r="G126" s="121">
        <v>37109</v>
      </c>
      <c r="H126" s="121">
        <v>397581</v>
      </c>
      <c r="I126" s="121">
        <v>495567</v>
      </c>
      <c r="J126" s="121">
        <v>0</v>
      </c>
      <c r="K126" s="122">
        <v>893148</v>
      </c>
      <c r="L126" s="121">
        <v>2407</v>
      </c>
      <c r="M126" s="121">
        <v>3001</v>
      </c>
      <c r="N126" s="121">
        <v>0</v>
      </c>
      <c r="O126" s="122">
        <v>5408</v>
      </c>
    </row>
    <row r="127" spans="1:15" ht="19.5" customHeight="1" x14ac:dyDescent="0.3">
      <c r="A127" s="133">
        <v>14</v>
      </c>
      <c r="B127" s="132" t="s">
        <v>3</v>
      </c>
      <c r="C127" s="121">
        <v>742901</v>
      </c>
      <c r="D127" s="121">
        <v>26739</v>
      </c>
      <c r="E127" s="121">
        <v>13141</v>
      </c>
      <c r="F127" s="121">
        <v>1232</v>
      </c>
      <c r="G127" s="121">
        <v>41112</v>
      </c>
      <c r="H127" s="121">
        <v>358525</v>
      </c>
      <c r="I127" s="121">
        <v>176204</v>
      </c>
      <c r="J127" s="121">
        <v>16519</v>
      </c>
      <c r="K127" s="122">
        <v>551248</v>
      </c>
      <c r="L127" s="121">
        <v>97910</v>
      </c>
      <c r="M127" s="121">
        <v>48120</v>
      </c>
      <c r="N127" s="121">
        <v>4511</v>
      </c>
      <c r="O127" s="122">
        <v>150541</v>
      </c>
    </row>
    <row r="128" spans="1:15" ht="99.75" customHeight="1" x14ac:dyDescent="0.3">
      <c r="A128" s="133" t="s">
        <v>30</v>
      </c>
      <c r="B128" s="132" t="s">
        <v>130</v>
      </c>
      <c r="C128" s="121">
        <v>140938</v>
      </c>
      <c r="D128" s="121">
        <v>4115</v>
      </c>
      <c r="E128" s="121">
        <v>0</v>
      </c>
      <c r="F128" s="121">
        <v>0</v>
      </c>
      <c r="G128" s="121">
        <v>4115</v>
      </c>
      <c r="H128" s="121">
        <v>126884</v>
      </c>
      <c r="I128" s="121">
        <v>0</v>
      </c>
      <c r="J128" s="121">
        <v>0</v>
      </c>
      <c r="K128" s="122">
        <v>126884</v>
      </c>
      <c r="L128" s="121">
        <v>9939</v>
      </c>
      <c r="M128" s="121">
        <v>0</v>
      </c>
      <c r="N128" s="121">
        <v>0</v>
      </c>
      <c r="O128" s="122">
        <v>9939</v>
      </c>
    </row>
    <row r="129" spans="1:15" ht="102" customHeight="1" x14ac:dyDescent="0.3">
      <c r="A129" s="133" t="s">
        <v>31</v>
      </c>
      <c r="B129" s="132" t="s">
        <v>131</v>
      </c>
      <c r="C129" s="121">
        <v>125106</v>
      </c>
      <c r="D129" s="121">
        <v>9138</v>
      </c>
      <c r="E129" s="121">
        <v>0</v>
      </c>
      <c r="F129" s="121">
        <v>0</v>
      </c>
      <c r="G129" s="121">
        <v>9138</v>
      </c>
      <c r="H129" s="121">
        <v>112080</v>
      </c>
      <c r="I129" s="121">
        <v>0</v>
      </c>
      <c r="J129" s="121">
        <v>0</v>
      </c>
      <c r="K129" s="122">
        <v>112080</v>
      </c>
      <c r="L129" s="121">
        <v>3888</v>
      </c>
      <c r="M129" s="121">
        <v>0</v>
      </c>
      <c r="N129" s="121">
        <v>0</v>
      </c>
      <c r="O129" s="122">
        <v>3888</v>
      </c>
    </row>
    <row r="130" spans="1:15" ht="19.5" customHeight="1" x14ac:dyDescent="0.3">
      <c r="A130" s="133" t="s">
        <v>32</v>
      </c>
      <c r="B130" s="132" t="s">
        <v>73</v>
      </c>
      <c r="C130" s="121">
        <v>54750</v>
      </c>
      <c r="D130" s="121">
        <v>7639</v>
      </c>
      <c r="E130" s="121">
        <v>0</v>
      </c>
      <c r="F130" s="121">
        <v>0</v>
      </c>
      <c r="G130" s="121">
        <v>7639</v>
      </c>
      <c r="H130" s="121">
        <v>27338</v>
      </c>
      <c r="I130" s="121">
        <v>0</v>
      </c>
      <c r="J130" s="121">
        <v>0</v>
      </c>
      <c r="K130" s="122">
        <v>27338</v>
      </c>
      <c r="L130" s="121">
        <v>19773</v>
      </c>
      <c r="M130" s="121">
        <v>0</v>
      </c>
      <c r="N130" s="121">
        <v>0</v>
      </c>
      <c r="O130" s="122">
        <v>19773</v>
      </c>
    </row>
    <row r="131" spans="1:15" ht="19.5" customHeight="1" x14ac:dyDescent="0.3">
      <c r="A131" s="133" t="s">
        <v>90</v>
      </c>
      <c r="B131" s="132" t="s">
        <v>132</v>
      </c>
      <c r="C131" s="121">
        <v>29572</v>
      </c>
      <c r="D131" s="121">
        <v>0</v>
      </c>
      <c r="E131" s="121">
        <v>3324</v>
      </c>
      <c r="F131" s="121">
        <v>0</v>
      </c>
      <c r="G131" s="121">
        <v>3324</v>
      </c>
      <c r="H131" s="121">
        <v>0</v>
      </c>
      <c r="I131" s="121">
        <v>17479</v>
      </c>
      <c r="J131" s="121">
        <v>0</v>
      </c>
      <c r="K131" s="122">
        <v>17479</v>
      </c>
      <c r="L131" s="121">
        <v>0</v>
      </c>
      <c r="M131" s="121">
        <v>8769</v>
      </c>
      <c r="N131" s="121">
        <v>0</v>
      </c>
      <c r="O131" s="122">
        <v>8769</v>
      </c>
    </row>
    <row r="132" spans="1:15" ht="19.5" customHeight="1" x14ac:dyDescent="0.25">
      <c r="A132" s="134"/>
      <c r="B132" s="134" t="s">
        <v>0</v>
      </c>
      <c r="C132" s="135">
        <v>29054118</v>
      </c>
      <c r="D132" s="135">
        <v>697269</v>
      </c>
      <c r="E132" s="135">
        <v>992635</v>
      </c>
      <c r="F132" s="135">
        <v>25480</v>
      </c>
      <c r="G132" s="135">
        <v>1715384</v>
      </c>
      <c r="H132" s="135">
        <v>5314718</v>
      </c>
      <c r="I132" s="135">
        <v>18398944</v>
      </c>
      <c r="J132" s="135">
        <v>172478</v>
      </c>
      <c r="K132" s="135">
        <v>23886140</v>
      </c>
      <c r="L132" s="135">
        <v>1022511</v>
      </c>
      <c r="M132" s="135">
        <v>2388509</v>
      </c>
      <c r="N132" s="135">
        <v>41574</v>
      </c>
      <c r="O132" s="135">
        <v>3452594</v>
      </c>
    </row>
    <row r="134" spans="1:15" ht="15.75" x14ac:dyDescent="0.25">
      <c r="A134" s="150" t="s">
        <v>112</v>
      </c>
      <c r="B134" s="150"/>
      <c r="C134" s="150"/>
      <c r="D134" s="150"/>
      <c r="E134" s="150"/>
      <c r="F134" s="150"/>
      <c r="G134" s="150"/>
      <c r="H134" s="150"/>
      <c r="I134" s="150"/>
      <c r="J134" s="150"/>
      <c r="K134" s="150"/>
      <c r="L134" s="150"/>
      <c r="M134" s="150"/>
      <c r="N134" s="150"/>
      <c r="O134" s="150"/>
    </row>
    <row r="135" spans="1:15" ht="15.75" x14ac:dyDescent="0.25">
      <c r="A135" s="136"/>
      <c r="B135" s="136"/>
      <c r="C135" s="136"/>
      <c r="D135" s="136"/>
      <c r="E135" s="136"/>
      <c r="F135" s="136"/>
      <c r="G135" s="136"/>
      <c r="H135" s="136"/>
      <c r="I135" s="136"/>
      <c r="J135" s="136"/>
      <c r="K135" s="136"/>
      <c r="L135" s="136"/>
      <c r="M135" s="136"/>
      <c r="N135" s="136"/>
      <c r="O135" s="136"/>
    </row>
    <row r="136" spans="1:15" s="126" customFormat="1" ht="19.5" customHeight="1" x14ac:dyDescent="0.25">
      <c r="A136" s="144" t="s">
        <v>17</v>
      </c>
      <c r="B136" s="144" t="s">
        <v>33</v>
      </c>
      <c r="C136" s="144" t="s">
        <v>118</v>
      </c>
      <c r="D136" s="144" t="s">
        <v>69</v>
      </c>
      <c r="E136" s="144"/>
      <c r="F136" s="144"/>
      <c r="G136" s="144"/>
      <c r="H136" s="144"/>
      <c r="I136" s="144"/>
      <c r="J136" s="144"/>
      <c r="K136" s="144"/>
      <c r="L136" s="144"/>
      <c r="M136" s="144"/>
      <c r="N136" s="144"/>
      <c r="O136" s="144"/>
    </row>
    <row r="137" spans="1:15" s="126" customFormat="1" ht="37.5" customHeight="1" x14ac:dyDescent="0.25">
      <c r="A137" s="144"/>
      <c r="B137" s="144"/>
      <c r="C137" s="144"/>
      <c r="D137" s="146" t="s">
        <v>36</v>
      </c>
      <c r="E137" s="146"/>
      <c r="F137" s="146"/>
      <c r="G137" s="146"/>
      <c r="H137" s="147" t="s">
        <v>37</v>
      </c>
      <c r="I137" s="148"/>
      <c r="J137" s="148"/>
      <c r="K137" s="149"/>
      <c r="L137" s="147" t="s">
        <v>38</v>
      </c>
      <c r="M137" s="148"/>
      <c r="N137" s="148"/>
      <c r="O137" s="149"/>
    </row>
    <row r="138" spans="1:15" s="126" customFormat="1" ht="61.5" customHeight="1" x14ac:dyDescent="0.25">
      <c r="A138" s="144"/>
      <c r="B138" s="144"/>
      <c r="C138" s="144"/>
      <c r="D138" s="127" t="s">
        <v>66</v>
      </c>
      <c r="E138" s="127" t="s">
        <v>67</v>
      </c>
      <c r="F138" s="127" t="s">
        <v>68</v>
      </c>
      <c r="G138" s="127" t="s">
        <v>70</v>
      </c>
      <c r="H138" s="128" t="s">
        <v>66</v>
      </c>
      <c r="I138" s="128" t="s">
        <v>67</v>
      </c>
      <c r="J138" s="128" t="s">
        <v>68</v>
      </c>
      <c r="K138" s="128" t="s">
        <v>71</v>
      </c>
      <c r="L138" s="128" t="s">
        <v>66</v>
      </c>
      <c r="M138" s="128" t="s">
        <v>67</v>
      </c>
      <c r="N138" s="128" t="s">
        <v>68</v>
      </c>
      <c r="O138" s="128" t="s">
        <v>72</v>
      </c>
    </row>
    <row r="139" spans="1:15" s="131" customFormat="1" ht="19.5" customHeight="1" x14ac:dyDescent="0.25">
      <c r="A139" s="129">
        <v>1</v>
      </c>
      <c r="B139" s="129">
        <v>2</v>
      </c>
      <c r="C139" s="129">
        <v>3</v>
      </c>
      <c r="D139" s="129">
        <v>4</v>
      </c>
      <c r="E139" s="129">
        <v>5</v>
      </c>
      <c r="F139" s="129">
        <v>6</v>
      </c>
      <c r="G139" s="129">
        <v>7</v>
      </c>
      <c r="H139" s="130">
        <v>8</v>
      </c>
      <c r="I139" s="130">
        <v>9</v>
      </c>
      <c r="J139" s="130">
        <v>10</v>
      </c>
      <c r="K139" s="130">
        <v>11</v>
      </c>
      <c r="L139" s="130">
        <v>12</v>
      </c>
      <c r="M139" s="130">
        <v>13</v>
      </c>
      <c r="N139" s="130">
        <v>14</v>
      </c>
      <c r="O139" s="130">
        <v>15</v>
      </c>
    </row>
    <row r="140" spans="1:15" s="131" customFormat="1" ht="28.5" customHeight="1" x14ac:dyDescent="0.3">
      <c r="A140" s="129" t="s">
        <v>16</v>
      </c>
      <c r="B140" s="132" t="s">
        <v>15</v>
      </c>
      <c r="C140" s="121">
        <v>4648446</v>
      </c>
      <c r="D140" s="121">
        <v>160322</v>
      </c>
      <c r="E140" s="121">
        <v>376381</v>
      </c>
      <c r="F140" s="121">
        <v>8931</v>
      </c>
      <c r="G140" s="121">
        <v>545634</v>
      </c>
      <c r="H140" s="121">
        <v>871597</v>
      </c>
      <c r="I140" s="121">
        <v>2046208</v>
      </c>
      <c r="J140" s="121">
        <v>48554</v>
      </c>
      <c r="K140" s="122">
        <v>2966359</v>
      </c>
      <c r="L140" s="121">
        <v>333921</v>
      </c>
      <c r="M140" s="121">
        <v>783930</v>
      </c>
      <c r="N140" s="121">
        <v>18602</v>
      </c>
      <c r="O140" s="122">
        <v>1136453</v>
      </c>
    </row>
    <row r="141" spans="1:15" ht="31.5" customHeight="1" x14ac:dyDescent="0.3">
      <c r="A141" s="133" t="s">
        <v>24</v>
      </c>
      <c r="B141" s="132" t="s">
        <v>14</v>
      </c>
      <c r="C141" s="121">
        <v>417143</v>
      </c>
      <c r="D141" s="121">
        <v>27777</v>
      </c>
      <c r="E141" s="121">
        <v>20958</v>
      </c>
      <c r="F141" s="121">
        <v>0</v>
      </c>
      <c r="G141" s="121">
        <v>48735</v>
      </c>
      <c r="H141" s="121">
        <v>144960</v>
      </c>
      <c r="I141" s="121">
        <v>109376</v>
      </c>
      <c r="J141" s="121">
        <v>0</v>
      </c>
      <c r="K141" s="122">
        <v>254336</v>
      </c>
      <c r="L141" s="121">
        <v>65016</v>
      </c>
      <c r="M141" s="121">
        <v>49056</v>
      </c>
      <c r="N141" s="121">
        <v>0</v>
      </c>
      <c r="O141" s="122">
        <v>114072</v>
      </c>
    </row>
    <row r="142" spans="1:15" ht="35.25" customHeight="1" x14ac:dyDescent="0.3">
      <c r="A142" s="133" t="s">
        <v>23</v>
      </c>
      <c r="B142" s="132" t="s">
        <v>13</v>
      </c>
      <c r="C142" s="121">
        <v>975916</v>
      </c>
      <c r="D142" s="121">
        <v>0</v>
      </c>
      <c r="E142" s="121">
        <v>88369</v>
      </c>
      <c r="F142" s="121">
        <v>0</v>
      </c>
      <c r="G142" s="121">
        <v>88369</v>
      </c>
      <c r="H142" s="121">
        <v>0</v>
      </c>
      <c r="I142" s="121">
        <v>670650</v>
      </c>
      <c r="J142" s="121">
        <v>0</v>
      </c>
      <c r="K142" s="122">
        <v>670650</v>
      </c>
      <c r="L142" s="121">
        <v>0</v>
      </c>
      <c r="M142" s="121">
        <v>216897</v>
      </c>
      <c r="N142" s="121">
        <v>0</v>
      </c>
      <c r="O142" s="122">
        <v>216897</v>
      </c>
    </row>
    <row r="143" spans="1:15" ht="31.5" customHeight="1" x14ac:dyDescent="0.3">
      <c r="A143" s="133" t="s">
        <v>22</v>
      </c>
      <c r="B143" s="132" t="s">
        <v>12</v>
      </c>
      <c r="C143" s="121">
        <v>121898</v>
      </c>
      <c r="D143" s="121">
        <v>12479</v>
      </c>
      <c r="E143" s="121">
        <v>0</v>
      </c>
      <c r="F143" s="121">
        <v>0</v>
      </c>
      <c r="G143" s="121">
        <v>12479</v>
      </c>
      <c r="H143" s="121">
        <v>81461</v>
      </c>
      <c r="I143" s="121">
        <v>0</v>
      </c>
      <c r="J143" s="121">
        <v>0</v>
      </c>
      <c r="K143" s="122">
        <v>81461</v>
      </c>
      <c r="L143" s="121">
        <v>27958</v>
      </c>
      <c r="M143" s="121">
        <v>0</v>
      </c>
      <c r="N143" s="121">
        <v>0</v>
      </c>
      <c r="O143" s="122">
        <v>27958</v>
      </c>
    </row>
    <row r="144" spans="1:15" ht="45.75" customHeight="1" x14ac:dyDescent="0.3">
      <c r="A144" s="133" t="s">
        <v>21</v>
      </c>
      <c r="B144" s="132" t="s">
        <v>11</v>
      </c>
      <c r="C144" s="121">
        <v>245927</v>
      </c>
      <c r="D144" s="121">
        <v>9000</v>
      </c>
      <c r="E144" s="121">
        <v>11295</v>
      </c>
      <c r="F144" s="121">
        <v>2856</v>
      </c>
      <c r="G144" s="121">
        <v>23151</v>
      </c>
      <c r="H144" s="121">
        <v>63861</v>
      </c>
      <c r="I144" s="121">
        <v>80142</v>
      </c>
      <c r="J144" s="121">
        <v>20264</v>
      </c>
      <c r="K144" s="122">
        <v>164267</v>
      </c>
      <c r="L144" s="121">
        <v>22745</v>
      </c>
      <c r="M144" s="121">
        <v>28546</v>
      </c>
      <c r="N144" s="121">
        <v>7218</v>
      </c>
      <c r="O144" s="122">
        <v>58509</v>
      </c>
    </row>
    <row r="145" spans="1:15" ht="19.5" customHeight="1" x14ac:dyDescent="0.3">
      <c r="A145" s="133" t="s">
        <v>20</v>
      </c>
      <c r="B145" s="132" t="s">
        <v>34</v>
      </c>
      <c r="C145" s="121">
        <v>208161</v>
      </c>
      <c r="D145" s="121">
        <v>23716</v>
      </c>
      <c r="E145" s="121">
        <v>0</v>
      </c>
      <c r="F145" s="121">
        <v>0</v>
      </c>
      <c r="G145" s="121">
        <v>23716</v>
      </c>
      <c r="H145" s="121">
        <v>123770</v>
      </c>
      <c r="I145" s="121">
        <v>0</v>
      </c>
      <c r="J145" s="121">
        <v>0</v>
      </c>
      <c r="K145" s="122">
        <v>123770</v>
      </c>
      <c r="L145" s="121">
        <v>60675</v>
      </c>
      <c r="M145" s="121">
        <v>0</v>
      </c>
      <c r="N145" s="121">
        <v>0</v>
      </c>
      <c r="O145" s="122">
        <v>60675</v>
      </c>
    </row>
    <row r="146" spans="1:15" ht="39" customHeight="1" x14ac:dyDescent="0.3">
      <c r="A146" s="133" t="s">
        <v>19</v>
      </c>
      <c r="B146" s="132" t="s">
        <v>10</v>
      </c>
      <c r="C146" s="121">
        <v>1036495</v>
      </c>
      <c r="D146" s="121">
        <v>34300</v>
      </c>
      <c r="E146" s="121">
        <v>42267</v>
      </c>
      <c r="F146" s="121">
        <v>1834</v>
      </c>
      <c r="G146" s="121">
        <v>78401</v>
      </c>
      <c r="H146" s="121">
        <v>311394</v>
      </c>
      <c r="I146" s="121">
        <v>383719</v>
      </c>
      <c r="J146" s="121">
        <v>16648</v>
      </c>
      <c r="K146" s="122">
        <v>711761</v>
      </c>
      <c r="L146" s="121">
        <v>107770</v>
      </c>
      <c r="M146" s="121">
        <v>132801</v>
      </c>
      <c r="N146" s="121">
        <v>5762</v>
      </c>
      <c r="O146" s="122">
        <v>246333</v>
      </c>
    </row>
    <row r="147" spans="1:15" ht="19.5" customHeight="1" x14ac:dyDescent="0.3">
      <c r="A147" s="133" t="s">
        <v>18</v>
      </c>
      <c r="B147" s="132" t="s">
        <v>9</v>
      </c>
      <c r="C147" s="121">
        <v>905245</v>
      </c>
      <c r="D147" s="121">
        <v>174810</v>
      </c>
      <c r="E147" s="121">
        <v>106453</v>
      </c>
      <c r="F147" s="121">
        <v>4108</v>
      </c>
      <c r="G147" s="121">
        <v>285371</v>
      </c>
      <c r="H147" s="121">
        <v>374794</v>
      </c>
      <c r="I147" s="121">
        <v>228234</v>
      </c>
      <c r="J147" s="121">
        <v>8806</v>
      </c>
      <c r="K147" s="122">
        <v>611834</v>
      </c>
      <c r="L147" s="121">
        <v>4997</v>
      </c>
      <c r="M147" s="121">
        <v>3043</v>
      </c>
      <c r="N147" s="121">
        <v>0</v>
      </c>
      <c r="O147" s="122">
        <v>8040</v>
      </c>
    </row>
    <row r="148" spans="1:15" ht="19.5" customHeight="1" x14ac:dyDescent="0.3">
      <c r="A148" s="133" t="s">
        <v>25</v>
      </c>
      <c r="B148" s="132" t="s">
        <v>8</v>
      </c>
      <c r="C148" s="121">
        <v>1139773</v>
      </c>
      <c r="D148" s="121">
        <v>7282</v>
      </c>
      <c r="E148" s="121">
        <v>25704</v>
      </c>
      <c r="F148" s="121">
        <v>0</v>
      </c>
      <c r="G148" s="121">
        <v>32986</v>
      </c>
      <c r="H148" s="121">
        <v>141048</v>
      </c>
      <c r="I148" s="121">
        <v>497897</v>
      </c>
      <c r="J148" s="121">
        <v>0</v>
      </c>
      <c r="K148" s="122">
        <v>638945</v>
      </c>
      <c r="L148" s="121">
        <v>103277</v>
      </c>
      <c r="M148" s="121">
        <v>364565</v>
      </c>
      <c r="N148" s="121">
        <v>0</v>
      </c>
      <c r="O148" s="122">
        <v>467842</v>
      </c>
    </row>
    <row r="149" spans="1:15" ht="19.5" customHeight="1" x14ac:dyDescent="0.3">
      <c r="A149" s="133" t="s">
        <v>26</v>
      </c>
      <c r="B149" s="132" t="s">
        <v>7</v>
      </c>
      <c r="C149" s="121">
        <v>2453129</v>
      </c>
      <c r="D149" s="121">
        <v>4218</v>
      </c>
      <c r="E149" s="121">
        <v>22226</v>
      </c>
      <c r="F149" s="121">
        <v>0</v>
      </c>
      <c r="G149" s="121">
        <v>26444</v>
      </c>
      <c r="H149" s="121">
        <v>371170</v>
      </c>
      <c r="I149" s="121">
        <v>1955672</v>
      </c>
      <c r="J149" s="121">
        <v>0</v>
      </c>
      <c r="K149" s="122">
        <v>2326842</v>
      </c>
      <c r="L149" s="121">
        <v>15927</v>
      </c>
      <c r="M149" s="121">
        <v>83916</v>
      </c>
      <c r="N149" s="121">
        <v>0</v>
      </c>
      <c r="O149" s="122">
        <v>99843</v>
      </c>
    </row>
    <row r="150" spans="1:15" ht="19.5" customHeight="1" x14ac:dyDescent="0.3">
      <c r="A150" s="133" t="s">
        <v>27</v>
      </c>
      <c r="B150" s="132" t="s">
        <v>6</v>
      </c>
      <c r="C150" s="121">
        <v>595512</v>
      </c>
      <c r="D150" s="121">
        <v>0</v>
      </c>
      <c r="E150" s="121">
        <v>0</v>
      </c>
      <c r="F150" s="121">
        <v>0</v>
      </c>
      <c r="G150" s="121">
        <v>0</v>
      </c>
      <c r="H150" s="121">
        <v>300604</v>
      </c>
      <c r="I150" s="121">
        <v>281275</v>
      </c>
      <c r="J150" s="121">
        <v>13633</v>
      </c>
      <c r="K150" s="122">
        <v>595512</v>
      </c>
      <c r="L150" s="121">
        <v>0</v>
      </c>
      <c r="M150" s="121">
        <v>0</v>
      </c>
      <c r="N150" s="121">
        <v>0</v>
      </c>
      <c r="O150" s="122">
        <v>0</v>
      </c>
    </row>
    <row r="151" spans="1:15" ht="19.5" customHeight="1" x14ac:dyDescent="0.3">
      <c r="A151" s="133" t="s">
        <v>28</v>
      </c>
      <c r="B151" s="132" t="s">
        <v>5</v>
      </c>
      <c r="C151" s="121">
        <v>887519</v>
      </c>
      <c r="D151" s="121">
        <v>66567</v>
      </c>
      <c r="E151" s="121">
        <v>53318</v>
      </c>
      <c r="F151" s="121">
        <v>10463</v>
      </c>
      <c r="G151" s="121">
        <v>130348</v>
      </c>
      <c r="H151" s="121">
        <v>382140</v>
      </c>
      <c r="I151" s="121">
        <v>306086</v>
      </c>
      <c r="J151" s="121">
        <v>60064</v>
      </c>
      <c r="K151" s="122">
        <v>748290</v>
      </c>
      <c r="L151" s="121">
        <v>4931</v>
      </c>
      <c r="M151" s="121">
        <v>3950</v>
      </c>
      <c r="N151" s="121">
        <v>0</v>
      </c>
      <c r="O151" s="122">
        <v>8881</v>
      </c>
    </row>
    <row r="152" spans="1:15" ht="19.5" customHeight="1" x14ac:dyDescent="0.3">
      <c r="A152" s="133" t="s">
        <v>29</v>
      </c>
      <c r="B152" s="132" t="s">
        <v>4</v>
      </c>
      <c r="C152" s="121">
        <v>684041</v>
      </c>
      <c r="D152" s="121">
        <v>12076</v>
      </c>
      <c r="E152" s="121">
        <v>15053</v>
      </c>
      <c r="F152" s="121">
        <v>0</v>
      </c>
      <c r="G152" s="121">
        <v>27129</v>
      </c>
      <c r="H152" s="121">
        <v>290662</v>
      </c>
      <c r="I152" s="121">
        <v>362296</v>
      </c>
      <c r="J152" s="121">
        <v>0</v>
      </c>
      <c r="K152" s="122">
        <v>652958</v>
      </c>
      <c r="L152" s="121">
        <v>1760</v>
      </c>
      <c r="M152" s="121">
        <v>2194</v>
      </c>
      <c r="N152" s="121">
        <v>0</v>
      </c>
      <c r="O152" s="122">
        <v>3954</v>
      </c>
    </row>
    <row r="153" spans="1:15" ht="19.5" customHeight="1" x14ac:dyDescent="0.3">
      <c r="A153" s="133">
        <v>14</v>
      </c>
      <c r="B153" s="132" t="s">
        <v>3</v>
      </c>
      <c r="C153" s="121">
        <v>817849</v>
      </c>
      <c r="D153" s="121">
        <v>29436</v>
      </c>
      <c r="E153" s="121">
        <v>14468</v>
      </c>
      <c r="F153" s="121">
        <v>1356</v>
      </c>
      <c r="G153" s="121">
        <v>45260</v>
      </c>
      <c r="H153" s="121">
        <v>394683</v>
      </c>
      <c r="I153" s="121">
        <v>193990</v>
      </c>
      <c r="J153" s="121">
        <v>18186</v>
      </c>
      <c r="K153" s="122">
        <v>606859</v>
      </c>
      <c r="L153" s="121">
        <v>107785</v>
      </c>
      <c r="M153" s="121">
        <v>52978</v>
      </c>
      <c r="N153" s="121">
        <v>4967</v>
      </c>
      <c r="O153" s="122">
        <v>165730</v>
      </c>
    </row>
    <row r="154" spans="1:15" ht="95.25" customHeight="1" x14ac:dyDescent="0.3">
      <c r="A154" s="133" t="s">
        <v>30</v>
      </c>
      <c r="B154" s="132" t="s">
        <v>130</v>
      </c>
      <c r="C154" s="121">
        <v>102140</v>
      </c>
      <c r="D154" s="121">
        <v>2982</v>
      </c>
      <c r="E154" s="121">
        <v>0</v>
      </c>
      <c r="F154" s="121">
        <v>0</v>
      </c>
      <c r="G154" s="121">
        <v>2982</v>
      </c>
      <c r="H154" s="121">
        <v>91955</v>
      </c>
      <c r="I154" s="121">
        <v>0</v>
      </c>
      <c r="J154" s="121">
        <v>0</v>
      </c>
      <c r="K154" s="122">
        <v>91955</v>
      </c>
      <c r="L154" s="121">
        <v>7203</v>
      </c>
      <c r="M154" s="121">
        <v>0</v>
      </c>
      <c r="N154" s="121">
        <v>0</v>
      </c>
      <c r="O154" s="122">
        <v>7203</v>
      </c>
    </row>
    <row r="155" spans="1:15" ht="97.5" customHeight="1" x14ac:dyDescent="0.3">
      <c r="A155" s="133" t="s">
        <v>31</v>
      </c>
      <c r="B155" s="132" t="s">
        <v>131</v>
      </c>
      <c r="C155" s="121">
        <v>64037</v>
      </c>
      <c r="D155" s="121">
        <v>4677</v>
      </c>
      <c r="E155" s="121">
        <v>0</v>
      </c>
      <c r="F155" s="121">
        <v>0</v>
      </c>
      <c r="G155" s="121">
        <v>4677</v>
      </c>
      <c r="H155" s="121">
        <v>57370</v>
      </c>
      <c r="I155" s="121">
        <v>0</v>
      </c>
      <c r="J155" s="121">
        <v>0</v>
      </c>
      <c r="K155" s="122">
        <v>57370</v>
      </c>
      <c r="L155" s="121">
        <v>1990</v>
      </c>
      <c r="M155" s="121">
        <v>0</v>
      </c>
      <c r="N155" s="121">
        <v>0</v>
      </c>
      <c r="O155" s="122">
        <v>1990</v>
      </c>
    </row>
    <row r="156" spans="1:15" ht="19.5" customHeight="1" x14ac:dyDescent="0.3">
      <c r="A156" s="133" t="s">
        <v>32</v>
      </c>
      <c r="B156" s="132" t="s">
        <v>73</v>
      </c>
      <c r="C156" s="121">
        <v>38930</v>
      </c>
      <c r="D156" s="121">
        <v>5432</v>
      </c>
      <c r="E156" s="121">
        <v>0</v>
      </c>
      <c r="F156" s="121">
        <v>0</v>
      </c>
      <c r="G156" s="121">
        <v>5432</v>
      </c>
      <c r="H156" s="121">
        <v>19439</v>
      </c>
      <c r="I156" s="121">
        <v>0</v>
      </c>
      <c r="J156" s="121">
        <v>0</v>
      </c>
      <c r="K156" s="122">
        <v>19439</v>
      </c>
      <c r="L156" s="121">
        <v>14059</v>
      </c>
      <c r="M156" s="121">
        <v>0</v>
      </c>
      <c r="N156" s="121">
        <v>0</v>
      </c>
      <c r="O156" s="122">
        <v>14059</v>
      </c>
    </row>
    <row r="157" spans="1:15" ht="19.5" customHeight="1" x14ac:dyDescent="0.3">
      <c r="A157" s="133" t="s">
        <v>90</v>
      </c>
      <c r="B157" s="132" t="s">
        <v>132</v>
      </c>
      <c r="C157" s="121">
        <v>29572</v>
      </c>
      <c r="D157" s="121">
        <v>0</v>
      </c>
      <c r="E157" s="121">
        <v>3324</v>
      </c>
      <c r="F157" s="121">
        <v>0</v>
      </c>
      <c r="G157" s="121">
        <v>3324</v>
      </c>
      <c r="H157" s="121">
        <v>0</v>
      </c>
      <c r="I157" s="121">
        <v>17479</v>
      </c>
      <c r="J157" s="121">
        <v>0</v>
      </c>
      <c r="K157" s="122">
        <v>17479</v>
      </c>
      <c r="L157" s="121">
        <v>0</v>
      </c>
      <c r="M157" s="121">
        <v>8769</v>
      </c>
      <c r="N157" s="121">
        <v>0</v>
      </c>
      <c r="O157" s="122">
        <v>8769</v>
      </c>
    </row>
    <row r="158" spans="1:15" ht="19.5" customHeight="1" x14ac:dyDescent="0.25">
      <c r="A158" s="134"/>
      <c r="B158" s="134" t="s">
        <v>0</v>
      </c>
      <c r="C158" s="135">
        <v>15371733</v>
      </c>
      <c r="D158" s="135">
        <v>575074</v>
      </c>
      <c r="E158" s="135">
        <v>779816</v>
      </c>
      <c r="F158" s="135">
        <v>29548</v>
      </c>
      <c r="G158" s="135">
        <v>1384438</v>
      </c>
      <c r="H158" s="135">
        <v>4020908</v>
      </c>
      <c r="I158" s="135">
        <v>7133024</v>
      </c>
      <c r="J158" s="135">
        <v>186155</v>
      </c>
      <c r="K158" s="135">
        <v>11340087</v>
      </c>
      <c r="L158" s="135">
        <v>880014</v>
      </c>
      <c r="M158" s="135">
        <v>1730645</v>
      </c>
      <c r="N158" s="135">
        <v>36549</v>
      </c>
      <c r="O158" s="135">
        <v>2647208</v>
      </c>
    </row>
    <row r="160" spans="1:15" ht="15.75" x14ac:dyDescent="0.25">
      <c r="A160" s="150" t="s">
        <v>112</v>
      </c>
      <c r="B160" s="150"/>
      <c r="C160" s="150"/>
      <c r="D160" s="150"/>
      <c r="E160" s="150"/>
      <c r="F160" s="150"/>
      <c r="G160" s="150"/>
      <c r="H160" s="150"/>
      <c r="I160" s="150"/>
      <c r="J160" s="150"/>
      <c r="K160" s="150"/>
      <c r="L160" s="150"/>
      <c r="M160" s="150"/>
      <c r="N160" s="150"/>
      <c r="O160" s="150"/>
    </row>
    <row r="161" spans="1:15" ht="15.75" x14ac:dyDescent="0.25">
      <c r="A161" s="136"/>
      <c r="B161" s="136"/>
      <c r="C161" s="136"/>
      <c r="D161" s="136"/>
      <c r="E161" s="136"/>
      <c r="F161" s="136"/>
      <c r="G161" s="136"/>
      <c r="H161" s="136"/>
      <c r="I161" s="136"/>
      <c r="J161" s="136"/>
      <c r="K161" s="136"/>
      <c r="L161" s="136"/>
      <c r="M161" s="136"/>
      <c r="N161" s="136"/>
      <c r="O161" s="136"/>
    </row>
    <row r="162" spans="1:15" s="126" customFormat="1" ht="19.5" customHeight="1" x14ac:dyDescent="0.25">
      <c r="A162" s="144" t="s">
        <v>17</v>
      </c>
      <c r="B162" s="144" t="s">
        <v>33</v>
      </c>
      <c r="C162" s="144" t="s">
        <v>119</v>
      </c>
      <c r="D162" s="144" t="s">
        <v>69</v>
      </c>
      <c r="E162" s="144"/>
      <c r="F162" s="144"/>
      <c r="G162" s="144"/>
      <c r="H162" s="144"/>
      <c r="I162" s="144"/>
      <c r="J162" s="144"/>
      <c r="K162" s="144"/>
      <c r="L162" s="144"/>
      <c r="M162" s="144"/>
      <c r="N162" s="144"/>
      <c r="O162" s="144"/>
    </row>
    <row r="163" spans="1:15" s="126" customFormat="1" ht="35.25" customHeight="1" x14ac:dyDescent="0.25">
      <c r="A163" s="144"/>
      <c r="B163" s="144"/>
      <c r="C163" s="144"/>
      <c r="D163" s="146" t="s">
        <v>36</v>
      </c>
      <c r="E163" s="146"/>
      <c r="F163" s="146"/>
      <c r="G163" s="146"/>
      <c r="H163" s="147" t="s">
        <v>37</v>
      </c>
      <c r="I163" s="148"/>
      <c r="J163" s="148"/>
      <c r="K163" s="149"/>
      <c r="L163" s="147" t="s">
        <v>38</v>
      </c>
      <c r="M163" s="148"/>
      <c r="N163" s="148"/>
      <c r="O163" s="149"/>
    </row>
    <row r="164" spans="1:15" s="126" customFormat="1" ht="66" customHeight="1" x14ac:dyDescent="0.25">
      <c r="A164" s="144"/>
      <c r="B164" s="144"/>
      <c r="C164" s="144"/>
      <c r="D164" s="127" t="s">
        <v>66</v>
      </c>
      <c r="E164" s="127" t="s">
        <v>67</v>
      </c>
      <c r="F164" s="127" t="s">
        <v>68</v>
      </c>
      <c r="G164" s="127" t="s">
        <v>70</v>
      </c>
      <c r="H164" s="128" t="s">
        <v>66</v>
      </c>
      <c r="I164" s="128" t="s">
        <v>67</v>
      </c>
      <c r="J164" s="128" t="s">
        <v>68</v>
      </c>
      <c r="K164" s="128" t="s">
        <v>71</v>
      </c>
      <c r="L164" s="128" t="s">
        <v>66</v>
      </c>
      <c r="M164" s="128" t="s">
        <v>67</v>
      </c>
      <c r="N164" s="128" t="s">
        <v>68</v>
      </c>
      <c r="O164" s="128" t="s">
        <v>72</v>
      </c>
    </row>
    <row r="165" spans="1:15" s="131" customFormat="1" ht="19.5" customHeight="1" x14ac:dyDescent="0.25">
      <c r="A165" s="129">
        <v>1</v>
      </c>
      <c r="B165" s="129">
        <v>2</v>
      </c>
      <c r="C165" s="129">
        <v>3</v>
      </c>
      <c r="D165" s="129">
        <v>4</v>
      </c>
      <c r="E165" s="129">
        <v>5</v>
      </c>
      <c r="F165" s="129">
        <v>6</v>
      </c>
      <c r="G165" s="129">
        <v>7</v>
      </c>
      <c r="H165" s="130">
        <v>8</v>
      </c>
      <c r="I165" s="130">
        <v>9</v>
      </c>
      <c r="J165" s="130">
        <v>10</v>
      </c>
      <c r="K165" s="130">
        <v>11</v>
      </c>
      <c r="L165" s="130">
        <v>12</v>
      </c>
      <c r="M165" s="130">
        <v>13</v>
      </c>
      <c r="N165" s="130">
        <v>14</v>
      </c>
      <c r="O165" s="130">
        <v>15</v>
      </c>
    </row>
    <row r="166" spans="1:15" s="131" customFormat="1" ht="29.25" customHeight="1" x14ac:dyDescent="0.3">
      <c r="A166" s="129" t="s">
        <v>16</v>
      </c>
      <c r="B166" s="132" t="s">
        <v>15</v>
      </c>
      <c r="C166" s="121">
        <v>6095351</v>
      </c>
      <c r="D166" s="121">
        <v>211128</v>
      </c>
      <c r="E166" s="121">
        <v>491848</v>
      </c>
      <c r="F166" s="121">
        <v>12497</v>
      </c>
      <c r="G166" s="121">
        <v>715473</v>
      </c>
      <c r="H166" s="121">
        <v>1147801</v>
      </c>
      <c r="I166" s="121">
        <v>2673948</v>
      </c>
      <c r="J166" s="121">
        <v>67938</v>
      </c>
      <c r="K166" s="122">
        <v>3889687</v>
      </c>
      <c r="L166" s="121">
        <v>439738</v>
      </c>
      <c r="M166" s="121">
        <v>1024426</v>
      </c>
      <c r="N166" s="121">
        <v>26027</v>
      </c>
      <c r="O166" s="122">
        <v>1490191</v>
      </c>
    </row>
    <row r="167" spans="1:15" ht="31.5" customHeight="1" x14ac:dyDescent="0.3">
      <c r="A167" s="133" t="s">
        <v>24</v>
      </c>
      <c r="B167" s="132" t="s">
        <v>14</v>
      </c>
      <c r="C167" s="121">
        <v>417142</v>
      </c>
      <c r="D167" s="121">
        <v>27777</v>
      </c>
      <c r="E167" s="121">
        <v>20958</v>
      </c>
      <c r="F167" s="121">
        <v>0</v>
      </c>
      <c r="G167" s="121">
        <v>48735</v>
      </c>
      <c r="H167" s="121">
        <v>144960</v>
      </c>
      <c r="I167" s="121">
        <v>109375</v>
      </c>
      <c r="J167" s="121">
        <v>0</v>
      </c>
      <c r="K167" s="122">
        <v>254335</v>
      </c>
      <c r="L167" s="121">
        <v>65016</v>
      </c>
      <c r="M167" s="121">
        <v>49056</v>
      </c>
      <c r="N167" s="121">
        <v>0</v>
      </c>
      <c r="O167" s="122">
        <v>114072</v>
      </c>
    </row>
    <row r="168" spans="1:15" ht="35.25" customHeight="1" x14ac:dyDescent="0.3">
      <c r="A168" s="133" t="s">
        <v>23</v>
      </c>
      <c r="B168" s="132" t="s">
        <v>13</v>
      </c>
      <c r="C168" s="121">
        <v>1318373</v>
      </c>
      <c r="D168" s="121">
        <v>0</v>
      </c>
      <c r="E168" s="121">
        <v>119379</v>
      </c>
      <c r="F168" s="121">
        <v>0</v>
      </c>
      <c r="G168" s="121">
        <v>119379</v>
      </c>
      <c r="H168" s="121">
        <v>0</v>
      </c>
      <c r="I168" s="121">
        <v>905986</v>
      </c>
      <c r="J168" s="121">
        <v>0</v>
      </c>
      <c r="K168" s="122">
        <v>905986</v>
      </c>
      <c r="L168" s="121">
        <v>0</v>
      </c>
      <c r="M168" s="121">
        <v>293008</v>
      </c>
      <c r="N168" s="121">
        <v>0</v>
      </c>
      <c r="O168" s="122">
        <v>293008</v>
      </c>
    </row>
    <row r="169" spans="1:15" ht="32.25" customHeight="1" x14ac:dyDescent="0.3">
      <c r="A169" s="133" t="s">
        <v>22</v>
      </c>
      <c r="B169" s="132" t="s">
        <v>12</v>
      </c>
      <c r="C169" s="121">
        <v>121451</v>
      </c>
      <c r="D169" s="121">
        <v>12433</v>
      </c>
      <c r="E169" s="121">
        <v>0</v>
      </c>
      <c r="F169" s="121">
        <v>0</v>
      </c>
      <c r="G169" s="121">
        <v>12433</v>
      </c>
      <c r="H169" s="121">
        <v>81162</v>
      </c>
      <c r="I169" s="121">
        <v>0</v>
      </c>
      <c r="J169" s="121">
        <v>0</v>
      </c>
      <c r="K169" s="122">
        <v>81162</v>
      </c>
      <c r="L169" s="121">
        <v>27856</v>
      </c>
      <c r="M169" s="121">
        <v>0</v>
      </c>
      <c r="N169" s="121">
        <v>0</v>
      </c>
      <c r="O169" s="122">
        <v>27856</v>
      </c>
    </row>
    <row r="170" spans="1:15" ht="30" customHeight="1" x14ac:dyDescent="0.3">
      <c r="A170" s="133" t="s">
        <v>21</v>
      </c>
      <c r="B170" s="132" t="s">
        <v>11</v>
      </c>
      <c r="C170" s="121">
        <v>240146</v>
      </c>
      <c r="D170" s="121">
        <v>8793</v>
      </c>
      <c r="E170" s="121">
        <v>11026</v>
      </c>
      <c r="F170" s="121">
        <v>2788</v>
      </c>
      <c r="G170" s="121">
        <v>22607</v>
      </c>
      <c r="H170" s="121">
        <v>62391</v>
      </c>
      <c r="I170" s="121">
        <v>78233</v>
      </c>
      <c r="J170" s="121">
        <v>19782</v>
      </c>
      <c r="K170" s="122">
        <v>160406</v>
      </c>
      <c r="L170" s="121">
        <v>22222</v>
      </c>
      <c r="M170" s="121">
        <v>27865</v>
      </c>
      <c r="N170" s="121">
        <v>7046</v>
      </c>
      <c r="O170" s="122">
        <v>57133</v>
      </c>
    </row>
    <row r="171" spans="1:15" ht="19.5" customHeight="1" x14ac:dyDescent="0.3">
      <c r="A171" s="133" t="s">
        <v>20</v>
      </c>
      <c r="B171" s="132" t="s">
        <v>34</v>
      </c>
      <c r="C171" s="121">
        <v>201188</v>
      </c>
      <c r="D171" s="121">
        <v>22922</v>
      </c>
      <c r="E171" s="121">
        <v>0</v>
      </c>
      <c r="F171" s="121">
        <v>0</v>
      </c>
      <c r="G171" s="121">
        <v>22922</v>
      </c>
      <c r="H171" s="121">
        <v>119624</v>
      </c>
      <c r="I171" s="121">
        <v>0</v>
      </c>
      <c r="J171" s="121">
        <v>0</v>
      </c>
      <c r="K171" s="122">
        <v>119624</v>
      </c>
      <c r="L171" s="121">
        <v>58642</v>
      </c>
      <c r="M171" s="121">
        <v>0</v>
      </c>
      <c r="N171" s="121">
        <v>0</v>
      </c>
      <c r="O171" s="122">
        <v>58642</v>
      </c>
    </row>
    <row r="172" spans="1:15" ht="31.5" customHeight="1" x14ac:dyDescent="0.3">
      <c r="A172" s="133" t="s">
        <v>19</v>
      </c>
      <c r="B172" s="132" t="s">
        <v>10</v>
      </c>
      <c r="C172" s="121">
        <v>452475</v>
      </c>
      <c r="D172" s="121">
        <v>14402</v>
      </c>
      <c r="E172" s="121">
        <v>18808</v>
      </c>
      <c r="F172" s="121">
        <v>1015</v>
      </c>
      <c r="G172" s="121">
        <v>34225</v>
      </c>
      <c r="H172" s="121">
        <v>130746</v>
      </c>
      <c r="I172" s="121">
        <v>170751</v>
      </c>
      <c r="J172" s="121">
        <v>9218</v>
      </c>
      <c r="K172" s="122">
        <v>310715</v>
      </c>
      <c r="L172" s="121">
        <v>45250</v>
      </c>
      <c r="M172" s="121">
        <v>59095</v>
      </c>
      <c r="N172" s="121">
        <v>3190</v>
      </c>
      <c r="O172" s="122">
        <v>107535</v>
      </c>
    </row>
    <row r="173" spans="1:15" ht="19.5" customHeight="1" x14ac:dyDescent="0.3">
      <c r="A173" s="133" t="s">
        <v>18</v>
      </c>
      <c r="B173" s="132" t="s">
        <v>9</v>
      </c>
      <c r="C173" s="121">
        <v>982428</v>
      </c>
      <c r="D173" s="121">
        <v>199138</v>
      </c>
      <c r="E173" s="121">
        <v>106453</v>
      </c>
      <c r="F173" s="121">
        <v>4108</v>
      </c>
      <c r="G173" s="121">
        <v>309699</v>
      </c>
      <c r="H173" s="121">
        <v>426953</v>
      </c>
      <c r="I173" s="121">
        <v>228234</v>
      </c>
      <c r="J173" s="121">
        <v>8807</v>
      </c>
      <c r="K173" s="122">
        <v>663994</v>
      </c>
      <c r="L173" s="121">
        <v>5692</v>
      </c>
      <c r="M173" s="121">
        <v>3043</v>
      </c>
      <c r="N173" s="121">
        <v>0</v>
      </c>
      <c r="O173" s="122">
        <v>8735</v>
      </c>
    </row>
    <row r="174" spans="1:15" ht="19.5" customHeight="1" x14ac:dyDescent="0.3">
      <c r="A174" s="133" t="s">
        <v>25</v>
      </c>
      <c r="B174" s="132" t="s">
        <v>8</v>
      </c>
      <c r="C174" s="121">
        <v>1219385</v>
      </c>
      <c r="D174" s="121">
        <v>7147</v>
      </c>
      <c r="E174" s="121">
        <v>28142</v>
      </c>
      <c r="F174" s="121">
        <v>0</v>
      </c>
      <c r="G174" s="121">
        <v>35289</v>
      </c>
      <c r="H174" s="121">
        <v>138436</v>
      </c>
      <c r="I174" s="121">
        <v>545139</v>
      </c>
      <c r="J174" s="121">
        <v>0</v>
      </c>
      <c r="K174" s="122">
        <v>683575</v>
      </c>
      <c r="L174" s="121">
        <v>101364</v>
      </c>
      <c r="M174" s="121">
        <v>399157</v>
      </c>
      <c r="N174" s="121">
        <v>0</v>
      </c>
      <c r="O174" s="122">
        <v>500521</v>
      </c>
    </row>
    <row r="175" spans="1:15" ht="19.5" customHeight="1" x14ac:dyDescent="0.3">
      <c r="A175" s="133" t="s">
        <v>26</v>
      </c>
      <c r="B175" s="132" t="s">
        <v>7</v>
      </c>
      <c r="C175" s="121">
        <v>2155013</v>
      </c>
      <c r="D175" s="121">
        <v>3545</v>
      </c>
      <c r="E175" s="121">
        <v>19686</v>
      </c>
      <c r="F175" s="121">
        <v>0</v>
      </c>
      <c r="G175" s="121">
        <v>23231</v>
      </c>
      <c r="H175" s="121">
        <v>311957</v>
      </c>
      <c r="I175" s="121">
        <v>1732116</v>
      </c>
      <c r="J175" s="121">
        <v>0</v>
      </c>
      <c r="K175" s="122">
        <v>2044073</v>
      </c>
      <c r="L175" s="121">
        <v>13386</v>
      </c>
      <c r="M175" s="121">
        <v>74323</v>
      </c>
      <c r="N175" s="121">
        <v>0</v>
      </c>
      <c r="O175" s="122">
        <v>87709</v>
      </c>
    </row>
    <row r="176" spans="1:15" ht="19.5" customHeight="1" x14ac:dyDescent="0.3">
      <c r="A176" s="133" t="s">
        <v>27</v>
      </c>
      <c r="B176" s="132" t="s">
        <v>6</v>
      </c>
      <c r="C176" s="121">
        <v>499800</v>
      </c>
      <c r="D176" s="121">
        <v>0</v>
      </c>
      <c r="E176" s="121">
        <v>0</v>
      </c>
      <c r="F176" s="121">
        <v>0</v>
      </c>
      <c r="G176" s="121">
        <v>0</v>
      </c>
      <c r="H176" s="121">
        <v>269681</v>
      </c>
      <c r="I176" s="121">
        <v>224088</v>
      </c>
      <c r="J176" s="121">
        <v>6031</v>
      </c>
      <c r="K176" s="122">
        <v>499800</v>
      </c>
      <c r="L176" s="121">
        <v>0</v>
      </c>
      <c r="M176" s="121">
        <v>0</v>
      </c>
      <c r="N176" s="121">
        <v>0</v>
      </c>
      <c r="O176" s="122">
        <v>0</v>
      </c>
    </row>
    <row r="177" spans="1:15" ht="19.5" customHeight="1" x14ac:dyDescent="0.3">
      <c r="A177" s="133" t="s">
        <v>28</v>
      </c>
      <c r="B177" s="132" t="s">
        <v>5</v>
      </c>
      <c r="C177" s="121">
        <v>948521</v>
      </c>
      <c r="D177" s="121">
        <v>77078</v>
      </c>
      <c r="E177" s="121">
        <v>58565</v>
      </c>
      <c r="F177" s="121">
        <v>3582</v>
      </c>
      <c r="G177" s="121">
        <v>139225</v>
      </c>
      <c r="H177" s="121">
        <v>442478</v>
      </c>
      <c r="I177" s="121">
        <v>336209</v>
      </c>
      <c r="J177" s="121">
        <v>20560</v>
      </c>
      <c r="K177" s="122">
        <v>799247</v>
      </c>
      <c r="L177" s="121">
        <v>5710</v>
      </c>
      <c r="M177" s="121">
        <v>4339</v>
      </c>
      <c r="N177" s="121">
        <v>0</v>
      </c>
      <c r="O177" s="122">
        <v>10049</v>
      </c>
    </row>
    <row r="178" spans="1:15" ht="19.5" customHeight="1" x14ac:dyDescent="0.3">
      <c r="A178" s="133" t="s">
        <v>29</v>
      </c>
      <c r="B178" s="132" t="s">
        <v>4</v>
      </c>
      <c r="C178" s="121">
        <v>710538</v>
      </c>
      <c r="D178" s="121">
        <v>12544</v>
      </c>
      <c r="E178" s="121">
        <v>15636</v>
      </c>
      <c r="F178" s="121">
        <v>0</v>
      </c>
      <c r="G178" s="121">
        <v>28180</v>
      </c>
      <c r="H178" s="121">
        <v>301921</v>
      </c>
      <c r="I178" s="121">
        <v>376331</v>
      </c>
      <c r="J178" s="121">
        <v>0</v>
      </c>
      <c r="K178" s="122">
        <v>678252</v>
      </c>
      <c r="L178" s="121">
        <v>1828</v>
      </c>
      <c r="M178" s="121">
        <v>2278</v>
      </c>
      <c r="N178" s="121">
        <v>0</v>
      </c>
      <c r="O178" s="122">
        <v>4106</v>
      </c>
    </row>
    <row r="179" spans="1:15" ht="19.5" customHeight="1" x14ac:dyDescent="0.3">
      <c r="A179" s="133">
        <v>14</v>
      </c>
      <c r="B179" s="132" t="s">
        <v>3</v>
      </c>
      <c r="C179" s="121">
        <v>901420</v>
      </c>
      <c r="D179" s="121">
        <v>32444</v>
      </c>
      <c r="E179" s="121">
        <v>15946</v>
      </c>
      <c r="F179" s="121">
        <v>1495</v>
      </c>
      <c r="G179" s="121">
        <v>49885</v>
      </c>
      <c r="H179" s="121">
        <v>435016</v>
      </c>
      <c r="I179" s="121">
        <v>213811</v>
      </c>
      <c r="J179" s="121">
        <v>20044</v>
      </c>
      <c r="K179" s="122">
        <v>668871</v>
      </c>
      <c r="L179" s="121">
        <v>118800</v>
      </c>
      <c r="M179" s="121">
        <v>58390</v>
      </c>
      <c r="N179" s="121">
        <v>5474</v>
      </c>
      <c r="O179" s="122">
        <v>182664</v>
      </c>
    </row>
    <row r="180" spans="1:15" ht="93" customHeight="1" x14ac:dyDescent="0.3">
      <c r="A180" s="133" t="s">
        <v>30</v>
      </c>
      <c r="B180" s="132" t="s">
        <v>130</v>
      </c>
      <c r="C180" s="121">
        <v>86521</v>
      </c>
      <c r="D180" s="121">
        <v>2526</v>
      </c>
      <c r="E180" s="121">
        <v>0</v>
      </c>
      <c r="F180" s="121">
        <v>0</v>
      </c>
      <c r="G180" s="121">
        <v>2526</v>
      </c>
      <c r="H180" s="121">
        <v>77893</v>
      </c>
      <c r="I180" s="121">
        <v>0</v>
      </c>
      <c r="J180" s="121">
        <v>0</v>
      </c>
      <c r="K180" s="122">
        <v>77893</v>
      </c>
      <c r="L180" s="121">
        <v>6102</v>
      </c>
      <c r="M180" s="121">
        <v>0</v>
      </c>
      <c r="N180" s="121">
        <v>0</v>
      </c>
      <c r="O180" s="122">
        <v>6102</v>
      </c>
    </row>
    <row r="181" spans="1:15" ht="99" customHeight="1" x14ac:dyDescent="0.3">
      <c r="A181" s="133" t="s">
        <v>31</v>
      </c>
      <c r="B181" s="132" t="s">
        <v>131</v>
      </c>
      <c r="C181" s="121">
        <v>37251</v>
      </c>
      <c r="D181" s="121">
        <v>2721</v>
      </c>
      <c r="E181" s="121">
        <v>0</v>
      </c>
      <c r="F181" s="121">
        <v>0</v>
      </c>
      <c r="G181" s="121">
        <v>2721</v>
      </c>
      <c r="H181" s="121">
        <v>33372</v>
      </c>
      <c r="I181" s="121">
        <v>0</v>
      </c>
      <c r="J181" s="121">
        <v>0</v>
      </c>
      <c r="K181" s="122">
        <v>33372</v>
      </c>
      <c r="L181" s="121">
        <v>1158</v>
      </c>
      <c r="M181" s="121">
        <v>0</v>
      </c>
      <c r="N181" s="121">
        <v>0</v>
      </c>
      <c r="O181" s="122">
        <v>1158</v>
      </c>
    </row>
    <row r="182" spans="1:15" ht="19.5" customHeight="1" x14ac:dyDescent="0.3">
      <c r="A182" s="133" t="s">
        <v>32</v>
      </c>
      <c r="B182" s="132" t="s">
        <v>73</v>
      </c>
      <c r="C182" s="121">
        <v>39188</v>
      </c>
      <c r="D182" s="121">
        <v>5468</v>
      </c>
      <c r="E182" s="121">
        <v>0</v>
      </c>
      <c r="F182" s="121">
        <v>0</v>
      </c>
      <c r="G182" s="121">
        <v>5468</v>
      </c>
      <c r="H182" s="121">
        <v>19568</v>
      </c>
      <c r="I182" s="121">
        <v>0</v>
      </c>
      <c r="J182" s="121">
        <v>0</v>
      </c>
      <c r="K182" s="122">
        <v>19568</v>
      </c>
      <c r="L182" s="121">
        <v>14152</v>
      </c>
      <c r="M182" s="121">
        <v>0</v>
      </c>
      <c r="N182" s="121">
        <v>0</v>
      </c>
      <c r="O182" s="122">
        <v>14152</v>
      </c>
    </row>
    <row r="183" spans="1:15" ht="19.5" customHeight="1" x14ac:dyDescent="0.3">
      <c r="A183" s="133" t="s">
        <v>90</v>
      </c>
      <c r="B183" s="132" t="s">
        <v>132</v>
      </c>
      <c r="C183" s="121">
        <v>29572</v>
      </c>
      <c r="D183" s="121">
        <v>0</v>
      </c>
      <c r="E183" s="121">
        <v>3324</v>
      </c>
      <c r="F183" s="121">
        <v>0</v>
      </c>
      <c r="G183" s="121">
        <v>3324</v>
      </c>
      <c r="H183" s="121">
        <v>0</v>
      </c>
      <c r="I183" s="121">
        <v>17479</v>
      </c>
      <c r="J183" s="121">
        <v>0</v>
      </c>
      <c r="K183" s="122">
        <v>17479</v>
      </c>
      <c r="L183" s="121">
        <v>0</v>
      </c>
      <c r="M183" s="121">
        <v>8769</v>
      </c>
      <c r="N183" s="121">
        <v>0</v>
      </c>
      <c r="O183" s="122">
        <v>8769</v>
      </c>
    </row>
    <row r="184" spans="1:15" ht="19.5" customHeight="1" x14ac:dyDescent="0.25">
      <c r="A184" s="134"/>
      <c r="B184" s="134" t="s">
        <v>0</v>
      </c>
      <c r="C184" s="135">
        <v>16455763</v>
      </c>
      <c r="D184" s="135">
        <v>640066</v>
      </c>
      <c r="E184" s="135">
        <v>909771</v>
      </c>
      <c r="F184" s="135">
        <v>25485</v>
      </c>
      <c r="G184" s="135">
        <v>1575322</v>
      </c>
      <c r="H184" s="135">
        <v>4143959</v>
      </c>
      <c r="I184" s="135">
        <v>7611700</v>
      </c>
      <c r="J184" s="135">
        <v>152380</v>
      </c>
      <c r="K184" s="135">
        <v>11908039</v>
      </c>
      <c r="L184" s="135">
        <v>926916</v>
      </c>
      <c r="M184" s="135">
        <v>2003749</v>
      </c>
      <c r="N184" s="135">
        <v>41737</v>
      </c>
      <c r="O184" s="135">
        <v>2972402</v>
      </c>
    </row>
    <row r="186" spans="1:15" ht="15.75" x14ac:dyDescent="0.25">
      <c r="A186" s="150" t="s">
        <v>112</v>
      </c>
      <c r="B186" s="150"/>
      <c r="C186" s="150"/>
      <c r="D186" s="150"/>
      <c r="E186" s="150"/>
      <c r="F186" s="150"/>
      <c r="G186" s="150"/>
      <c r="H186" s="150"/>
      <c r="I186" s="150"/>
      <c r="J186" s="150"/>
      <c r="K186" s="150"/>
      <c r="L186" s="150"/>
      <c r="M186" s="150"/>
      <c r="N186" s="150"/>
      <c r="O186" s="150"/>
    </row>
    <row r="187" spans="1:15" ht="15.75" x14ac:dyDescent="0.25">
      <c r="A187" s="136"/>
      <c r="B187" s="136"/>
      <c r="C187" s="136"/>
      <c r="D187" s="136"/>
      <c r="E187" s="136"/>
      <c r="F187" s="136"/>
      <c r="G187" s="136"/>
      <c r="H187" s="136"/>
      <c r="I187" s="136"/>
      <c r="J187" s="136"/>
      <c r="K187" s="136"/>
      <c r="L187" s="136"/>
      <c r="M187" s="136"/>
      <c r="N187" s="136"/>
      <c r="O187" s="136"/>
    </row>
    <row r="188" spans="1:15" s="126" customFormat="1" ht="19.5" customHeight="1" x14ac:dyDescent="0.25">
      <c r="A188" s="144" t="s">
        <v>17</v>
      </c>
      <c r="B188" s="144" t="s">
        <v>33</v>
      </c>
      <c r="C188" s="151" t="s">
        <v>120</v>
      </c>
      <c r="D188" s="144" t="s">
        <v>69</v>
      </c>
      <c r="E188" s="144"/>
      <c r="F188" s="144"/>
      <c r="G188" s="144"/>
      <c r="H188" s="144"/>
      <c r="I188" s="144"/>
      <c r="J188" s="144"/>
      <c r="K188" s="144"/>
      <c r="L188" s="144"/>
      <c r="M188" s="144"/>
      <c r="N188" s="144"/>
      <c r="O188" s="144"/>
    </row>
    <row r="189" spans="1:15" s="126" customFormat="1" ht="42.75" customHeight="1" x14ac:dyDescent="0.25">
      <c r="A189" s="144"/>
      <c r="B189" s="144"/>
      <c r="C189" s="151"/>
      <c r="D189" s="146" t="s">
        <v>36</v>
      </c>
      <c r="E189" s="146"/>
      <c r="F189" s="146"/>
      <c r="G189" s="146"/>
      <c r="H189" s="147" t="s">
        <v>37</v>
      </c>
      <c r="I189" s="148"/>
      <c r="J189" s="148"/>
      <c r="K189" s="149"/>
      <c r="L189" s="147" t="s">
        <v>38</v>
      </c>
      <c r="M189" s="148"/>
      <c r="N189" s="148"/>
      <c r="O189" s="149"/>
    </row>
    <row r="190" spans="1:15" s="126" customFormat="1" ht="69" customHeight="1" x14ac:dyDescent="0.25">
      <c r="A190" s="144"/>
      <c r="B190" s="144"/>
      <c r="C190" s="151"/>
      <c r="D190" s="127" t="s">
        <v>66</v>
      </c>
      <c r="E190" s="127" t="s">
        <v>67</v>
      </c>
      <c r="F190" s="127" t="s">
        <v>68</v>
      </c>
      <c r="G190" s="127" t="s">
        <v>70</v>
      </c>
      <c r="H190" s="128" t="s">
        <v>66</v>
      </c>
      <c r="I190" s="128" t="s">
        <v>67</v>
      </c>
      <c r="J190" s="128" t="s">
        <v>68</v>
      </c>
      <c r="K190" s="128" t="s">
        <v>71</v>
      </c>
      <c r="L190" s="128" t="s">
        <v>66</v>
      </c>
      <c r="M190" s="128" t="s">
        <v>67</v>
      </c>
      <c r="N190" s="128" t="s">
        <v>68</v>
      </c>
      <c r="O190" s="128" t="s">
        <v>72</v>
      </c>
    </row>
    <row r="191" spans="1:15" s="131" customFormat="1" ht="19.5" customHeight="1" x14ac:dyDescent="0.25">
      <c r="A191" s="129">
        <v>1</v>
      </c>
      <c r="B191" s="129">
        <v>2</v>
      </c>
      <c r="C191" s="129">
        <v>3</v>
      </c>
      <c r="D191" s="129">
        <v>4</v>
      </c>
      <c r="E191" s="129">
        <v>5</v>
      </c>
      <c r="F191" s="129">
        <v>6</v>
      </c>
      <c r="G191" s="129">
        <v>7</v>
      </c>
      <c r="H191" s="130">
        <v>8</v>
      </c>
      <c r="I191" s="130">
        <v>9</v>
      </c>
      <c r="J191" s="130">
        <v>10</v>
      </c>
      <c r="K191" s="130">
        <v>11</v>
      </c>
      <c r="L191" s="130">
        <v>12</v>
      </c>
      <c r="M191" s="130">
        <v>13</v>
      </c>
      <c r="N191" s="130">
        <v>14</v>
      </c>
      <c r="O191" s="130">
        <v>15</v>
      </c>
    </row>
    <row r="192" spans="1:15" s="131" customFormat="1" ht="30.75" customHeight="1" x14ac:dyDescent="0.3">
      <c r="A192" s="129" t="s">
        <v>16</v>
      </c>
      <c r="B192" s="132" t="s">
        <v>15</v>
      </c>
      <c r="C192" s="121">
        <v>15545538</v>
      </c>
      <c r="D192" s="121">
        <v>537156</v>
      </c>
      <c r="E192" s="121">
        <v>1257720</v>
      </c>
      <c r="F192" s="121">
        <v>29859</v>
      </c>
      <c r="G192" s="121">
        <v>1824735</v>
      </c>
      <c r="H192" s="122">
        <v>2920262</v>
      </c>
      <c r="I192" s="122">
        <v>6837637</v>
      </c>
      <c r="J192" s="122">
        <v>162330</v>
      </c>
      <c r="K192" s="122">
        <v>9920229</v>
      </c>
      <c r="L192" s="122">
        <v>1118792</v>
      </c>
      <c r="M192" s="122">
        <v>2619592</v>
      </c>
      <c r="N192" s="122">
        <v>62190</v>
      </c>
      <c r="O192" s="122">
        <v>3800574</v>
      </c>
    </row>
    <row r="193" spans="1:15" ht="33" customHeight="1" x14ac:dyDescent="0.3">
      <c r="A193" s="133" t="s">
        <v>24</v>
      </c>
      <c r="B193" s="132" t="s">
        <v>14</v>
      </c>
      <c r="C193" s="121">
        <v>1296561</v>
      </c>
      <c r="D193" s="121">
        <v>85894</v>
      </c>
      <c r="E193" s="121">
        <v>65583</v>
      </c>
      <c r="F193" s="121">
        <v>0</v>
      </c>
      <c r="G193" s="121">
        <v>151477</v>
      </c>
      <c r="H193" s="122">
        <v>448259</v>
      </c>
      <c r="I193" s="122">
        <v>342267</v>
      </c>
      <c r="J193" s="122">
        <v>0</v>
      </c>
      <c r="K193" s="122">
        <v>790526</v>
      </c>
      <c r="L193" s="122">
        <v>201048</v>
      </c>
      <c r="M193" s="122">
        <v>153510</v>
      </c>
      <c r="N193" s="122">
        <v>0</v>
      </c>
      <c r="O193" s="122">
        <v>354558</v>
      </c>
    </row>
    <row r="194" spans="1:15" ht="33" customHeight="1" x14ac:dyDescent="0.3">
      <c r="A194" s="133" t="s">
        <v>23</v>
      </c>
      <c r="B194" s="132" t="s">
        <v>13</v>
      </c>
      <c r="C194" s="121">
        <v>3933931</v>
      </c>
      <c r="D194" s="121">
        <v>0</v>
      </c>
      <c r="E194" s="121">
        <v>356218</v>
      </c>
      <c r="F194" s="121">
        <v>0</v>
      </c>
      <c r="G194" s="121">
        <v>356218</v>
      </c>
      <c r="H194" s="122">
        <v>0</v>
      </c>
      <c r="I194" s="122">
        <v>2703398</v>
      </c>
      <c r="J194" s="122">
        <v>0</v>
      </c>
      <c r="K194" s="122">
        <v>2703398</v>
      </c>
      <c r="L194" s="122">
        <v>0</v>
      </c>
      <c r="M194" s="122">
        <v>874315</v>
      </c>
      <c r="N194" s="122">
        <v>0</v>
      </c>
      <c r="O194" s="122">
        <v>874315</v>
      </c>
    </row>
    <row r="195" spans="1:15" ht="36" customHeight="1" x14ac:dyDescent="0.3">
      <c r="A195" s="133" t="s">
        <v>22</v>
      </c>
      <c r="B195" s="132" t="s">
        <v>12</v>
      </c>
      <c r="C195" s="121">
        <v>428721</v>
      </c>
      <c r="D195" s="121">
        <v>43888</v>
      </c>
      <c r="E195" s="121">
        <v>0</v>
      </c>
      <c r="F195" s="121">
        <v>0</v>
      </c>
      <c r="G195" s="121">
        <v>43888</v>
      </c>
      <c r="H195" s="122">
        <v>286502</v>
      </c>
      <c r="I195" s="122">
        <v>0</v>
      </c>
      <c r="J195" s="122">
        <v>0</v>
      </c>
      <c r="K195" s="122">
        <v>286502</v>
      </c>
      <c r="L195" s="122">
        <v>98331</v>
      </c>
      <c r="M195" s="122">
        <v>0</v>
      </c>
      <c r="N195" s="122">
        <v>0</v>
      </c>
      <c r="O195" s="122">
        <v>98331</v>
      </c>
    </row>
    <row r="196" spans="1:15" ht="42" customHeight="1" x14ac:dyDescent="0.3">
      <c r="A196" s="133" t="s">
        <v>21</v>
      </c>
      <c r="B196" s="132" t="s">
        <v>11</v>
      </c>
      <c r="C196" s="121">
        <v>796632</v>
      </c>
      <c r="D196" s="121">
        <v>29318</v>
      </c>
      <c r="E196" s="121">
        <v>36458</v>
      </c>
      <c r="F196" s="121">
        <v>9218</v>
      </c>
      <c r="G196" s="121">
        <v>74994</v>
      </c>
      <c r="H196" s="122">
        <v>208022</v>
      </c>
      <c r="I196" s="122">
        <v>258680</v>
      </c>
      <c r="J196" s="122">
        <v>65409</v>
      </c>
      <c r="K196" s="122">
        <v>532111</v>
      </c>
      <c r="L196" s="122">
        <v>74092</v>
      </c>
      <c r="M196" s="122">
        <v>92137</v>
      </c>
      <c r="N196" s="122">
        <v>23298</v>
      </c>
      <c r="O196" s="122">
        <v>189527</v>
      </c>
    </row>
    <row r="197" spans="1:15" ht="19.5" customHeight="1" x14ac:dyDescent="0.3">
      <c r="A197" s="133" t="s">
        <v>20</v>
      </c>
      <c r="B197" s="132" t="s">
        <v>34</v>
      </c>
      <c r="C197" s="121">
        <v>718502</v>
      </c>
      <c r="D197" s="121">
        <v>81860</v>
      </c>
      <c r="E197" s="121">
        <v>0</v>
      </c>
      <c r="F197" s="121">
        <v>0</v>
      </c>
      <c r="G197" s="121">
        <v>81860</v>
      </c>
      <c r="H197" s="122">
        <v>427213</v>
      </c>
      <c r="I197" s="122">
        <v>0</v>
      </c>
      <c r="J197" s="122">
        <v>0</v>
      </c>
      <c r="K197" s="122">
        <v>427213</v>
      </c>
      <c r="L197" s="122">
        <v>209429</v>
      </c>
      <c r="M197" s="122">
        <v>0</v>
      </c>
      <c r="N197" s="122">
        <v>0</v>
      </c>
      <c r="O197" s="122">
        <v>209429</v>
      </c>
    </row>
    <row r="198" spans="1:15" ht="34.5" customHeight="1" x14ac:dyDescent="0.3">
      <c r="A198" s="133" t="s">
        <v>19</v>
      </c>
      <c r="B198" s="132" t="s">
        <v>10</v>
      </c>
      <c r="C198" s="121">
        <v>2777478</v>
      </c>
      <c r="D198" s="121">
        <v>89417</v>
      </c>
      <c r="E198" s="121">
        <v>114918</v>
      </c>
      <c r="F198" s="121">
        <v>5754</v>
      </c>
      <c r="G198" s="121">
        <v>210089</v>
      </c>
      <c r="H198" s="122">
        <v>811771</v>
      </c>
      <c r="I198" s="122">
        <v>1043285</v>
      </c>
      <c r="J198" s="122">
        <v>52238</v>
      </c>
      <c r="K198" s="122">
        <v>1907294</v>
      </c>
      <c r="L198" s="122">
        <v>280946</v>
      </c>
      <c r="M198" s="122">
        <v>361070</v>
      </c>
      <c r="N198" s="122">
        <v>18079</v>
      </c>
      <c r="O198" s="122">
        <v>660095</v>
      </c>
    </row>
    <row r="199" spans="1:15" ht="19.5" customHeight="1" x14ac:dyDescent="0.3">
      <c r="A199" s="133" t="s">
        <v>18</v>
      </c>
      <c r="B199" s="132" t="s">
        <v>9</v>
      </c>
      <c r="C199" s="121">
        <v>2994398</v>
      </c>
      <c r="D199" s="121">
        <v>596113</v>
      </c>
      <c r="E199" s="121">
        <v>334356</v>
      </c>
      <c r="F199" s="121">
        <v>13487</v>
      </c>
      <c r="G199" s="121">
        <v>943956</v>
      </c>
      <c r="H199" s="122">
        <v>1278070</v>
      </c>
      <c r="I199" s="122">
        <v>716859</v>
      </c>
      <c r="J199" s="122">
        <v>28915</v>
      </c>
      <c r="K199" s="122">
        <v>2023844</v>
      </c>
      <c r="L199" s="122">
        <v>17040</v>
      </c>
      <c r="M199" s="122">
        <v>9558</v>
      </c>
      <c r="N199" s="122">
        <v>0</v>
      </c>
      <c r="O199" s="122">
        <v>26598</v>
      </c>
    </row>
    <row r="200" spans="1:15" ht="19.5" customHeight="1" x14ac:dyDescent="0.3">
      <c r="A200" s="133" t="s">
        <v>25</v>
      </c>
      <c r="B200" s="132" t="s">
        <v>8</v>
      </c>
      <c r="C200" s="121">
        <v>3836150</v>
      </c>
      <c r="D200" s="121">
        <v>23982</v>
      </c>
      <c r="E200" s="121">
        <v>87037</v>
      </c>
      <c r="F200" s="121">
        <v>0</v>
      </c>
      <c r="G200" s="121">
        <v>111019</v>
      </c>
      <c r="H200" s="122">
        <v>464542</v>
      </c>
      <c r="I200" s="122">
        <v>1685965</v>
      </c>
      <c r="J200" s="122">
        <v>0</v>
      </c>
      <c r="K200" s="122">
        <v>2150507</v>
      </c>
      <c r="L200" s="122">
        <v>340143</v>
      </c>
      <c r="M200" s="122">
        <v>1234481</v>
      </c>
      <c r="N200" s="122">
        <v>0</v>
      </c>
      <c r="O200" s="122">
        <v>1574624</v>
      </c>
    </row>
    <row r="201" spans="1:15" ht="19.5" customHeight="1" x14ac:dyDescent="0.3">
      <c r="A201" s="133" t="s">
        <v>26</v>
      </c>
      <c r="B201" s="132" t="s">
        <v>7</v>
      </c>
      <c r="C201" s="121">
        <v>15454906</v>
      </c>
      <c r="D201" s="121">
        <v>16410</v>
      </c>
      <c r="E201" s="121">
        <v>150193</v>
      </c>
      <c r="F201" s="121">
        <v>0</v>
      </c>
      <c r="G201" s="121">
        <v>166603</v>
      </c>
      <c r="H201" s="122">
        <v>1443972</v>
      </c>
      <c r="I201" s="122">
        <v>13215316</v>
      </c>
      <c r="J201" s="122">
        <v>0</v>
      </c>
      <c r="K201" s="122">
        <v>14659288</v>
      </c>
      <c r="L201" s="122">
        <v>61960</v>
      </c>
      <c r="M201" s="122">
        <v>567055</v>
      </c>
      <c r="N201" s="122">
        <v>0</v>
      </c>
      <c r="O201" s="122">
        <v>629015</v>
      </c>
    </row>
    <row r="202" spans="1:15" ht="19.5" customHeight="1" x14ac:dyDescent="0.3">
      <c r="A202" s="133" t="s">
        <v>27</v>
      </c>
      <c r="B202" s="132" t="s">
        <v>6</v>
      </c>
      <c r="C202" s="121">
        <v>4698796</v>
      </c>
      <c r="D202" s="121">
        <v>2823</v>
      </c>
      <c r="E202" s="121">
        <v>8862</v>
      </c>
      <c r="F202" s="121">
        <v>0</v>
      </c>
      <c r="G202" s="121">
        <v>11685</v>
      </c>
      <c r="H202" s="122">
        <v>1120057</v>
      </c>
      <c r="I202" s="122">
        <v>3516254</v>
      </c>
      <c r="J202" s="122">
        <v>43399</v>
      </c>
      <c r="K202" s="122">
        <v>4679710</v>
      </c>
      <c r="L202" s="122">
        <v>1787</v>
      </c>
      <c r="M202" s="122">
        <v>5614</v>
      </c>
      <c r="N202" s="122">
        <v>0</v>
      </c>
      <c r="O202" s="122">
        <v>7401</v>
      </c>
    </row>
    <row r="203" spans="1:15" ht="19.5" customHeight="1" x14ac:dyDescent="0.3">
      <c r="A203" s="133" t="s">
        <v>28</v>
      </c>
      <c r="B203" s="132" t="s">
        <v>5</v>
      </c>
      <c r="C203" s="121">
        <v>2830010</v>
      </c>
      <c r="D203" s="121">
        <v>231092</v>
      </c>
      <c r="E203" s="121">
        <v>166071</v>
      </c>
      <c r="F203" s="121">
        <v>18112</v>
      </c>
      <c r="G203" s="121">
        <v>415275</v>
      </c>
      <c r="H203" s="122">
        <v>1326628</v>
      </c>
      <c r="I203" s="122">
        <v>953371</v>
      </c>
      <c r="J203" s="122">
        <v>103973</v>
      </c>
      <c r="K203" s="122">
        <v>2383972</v>
      </c>
      <c r="L203" s="122">
        <v>17119</v>
      </c>
      <c r="M203" s="122">
        <v>12303</v>
      </c>
      <c r="N203" s="122">
        <v>1341</v>
      </c>
      <c r="O203" s="122">
        <v>30763</v>
      </c>
    </row>
    <row r="204" spans="1:15" ht="19.5" customHeight="1" x14ac:dyDescent="0.3">
      <c r="A204" s="133" t="s">
        <v>29</v>
      </c>
      <c r="B204" s="132" t="s">
        <v>4</v>
      </c>
      <c r="C204" s="121">
        <v>2330244</v>
      </c>
      <c r="D204" s="121">
        <v>41139</v>
      </c>
      <c r="E204" s="121">
        <v>51279</v>
      </c>
      <c r="F204" s="121">
        <v>0</v>
      </c>
      <c r="G204" s="121">
        <v>92418</v>
      </c>
      <c r="H204" s="122">
        <v>990164</v>
      </c>
      <c r="I204" s="122">
        <v>1234194</v>
      </c>
      <c r="J204" s="122">
        <v>0</v>
      </c>
      <c r="K204" s="122">
        <v>2224358</v>
      </c>
      <c r="L204" s="122">
        <v>5995</v>
      </c>
      <c r="M204" s="122">
        <v>7473</v>
      </c>
      <c r="N204" s="122">
        <v>0</v>
      </c>
      <c r="O204" s="122">
        <v>13468</v>
      </c>
    </row>
    <row r="205" spans="1:15" ht="19.5" customHeight="1" x14ac:dyDescent="0.3">
      <c r="A205" s="133">
        <v>14</v>
      </c>
      <c r="B205" s="132" t="s">
        <v>3</v>
      </c>
      <c r="C205" s="121">
        <v>2462170</v>
      </c>
      <c r="D205" s="121">
        <v>88619</v>
      </c>
      <c r="E205" s="121">
        <v>43555</v>
      </c>
      <c r="F205" s="121">
        <v>4083</v>
      </c>
      <c r="G205" s="121">
        <v>136257</v>
      </c>
      <c r="H205" s="122">
        <v>1188224</v>
      </c>
      <c r="I205" s="122">
        <v>584005</v>
      </c>
      <c r="J205" s="122">
        <v>54749</v>
      </c>
      <c r="K205" s="122">
        <v>1826978</v>
      </c>
      <c r="L205" s="122">
        <v>324495</v>
      </c>
      <c r="M205" s="122">
        <v>159488</v>
      </c>
      <c r="N205" s="122">
        <v>14952</v>
      </c>
      <c r="O205" s="122">
        <v>498935</v>
      </c>
    </row>
    <row r="206" spans="1:15" ht="98.25" customHeight="1" x14ac:dyDescent="0.3">
      <c r="A206" s="133" t="s">
        <v>30</v>
      </c>
      <c r="B206" s="132" t="s">
        <v>130</v>
      </c>
      <c r="C206" s="121">
        <v>329599</v>
      </c>
      <c r="D206" s="121">
        <v>9623</v>
      </c>
      <c r="E206" s="121">
        <v>0</v>
      </c>
      <c r="F206" s="121">
        <v>0</v>
      </c>
      <c r="G206" s="121">
        <v>9623</v>
      </c>
      <c r="H206" s="122">
        <v>296732</v>
      </c>
      <c r="I206" s="122">
        <v>0</v>
      </c>
      <c r="J206" s="122">
        <v>0</v>
      </c>
      <c r="K206" s="122">
        <v>296732</v>
      </c>
      <c r="L206" s="122">
        <v>23244</v>
      </c>
      <c r="M206" s="122">
        <v>0</v>
      </c>
      <c r="N206" s="122">
        <v>0</v>
      </c>
      <c r="O206" s="122">
        <v>23244</v>
      </c>
    </row>
    <row r="207" spans="1:15" ht="101.25" customHeight="1" x14ac:dyDescent="0.3">
      <c r="A207" s="133" t="s">
        <v>31</v>
      </c>
      <c r="B207" s="132" t="s">
        <v>131</v>
      </c>
      <c r="C207" s="121">
        <v>226394</v>
      </c>
      <c r="D207" s="121">
        <v>16536</v>
      </c>
      <c r="E207" s="121">
        <v>0</v>
      </c>
      <c r="F207" s="121">
        <v>0</v>
      </c>
      <c r="G207" s="121">
        <v>16536</v>
      </c>
      <c r="H207" s="122">
        <v>202822</v>
      </c>
      <c r="I207" s="122">
        <v>0</v>
      </c>
      <c r="J207" s="122">
        <v>0</v>
      </c>
      <c r="K207" s="122">
        <v>202822</v>
      </c>
      <c r="L207" s="122">
        <v>7036</v>
      </c>
      <c r="M207" s="122">
        <v>0</v>
      </c>
      <c r="N207" s="122">
        <v>0</v>
      </c>
      <c r="O207" s="122">
        <v>7036</v>
      </c>
    </row>
    <row r="208" spans="1:15" ht="19.5" customHeight="1" x14ac:dyDescent="0.3">
      <c r="A208" s="133" t="s">
        <v>32</v>
      </c>
      <c r="B208" s="132" t="s">
        <v>73</v>
      </c>
      <c r="C208" s="121">
        <v>132868</v>
      </c>
      <c r="D208" s="121">
        <v>18539</v>
      </c>
      <c r="E208" s="121">
        <v>0</v>
      </c>
      <c r="F208" s="121">
        <v>0</v>
      </c>
      <c r="G208" s="121">
        <v>18539</v>
      </c>
      <c r="H208" s="122">
        <v>66345</v>
      </c>
      <c r="I208" s="122">
        <v>0</v>
      </c>
      <c r="J208" s="122">
        <v>0</v>
      </c>
      <c r="K208" s="122">
        <v>66345</v>
      </c>
      <c r="L208" s="122">
        <v>47984</v>
      </c>
      <c r="M208" s="122">
        <v>0</v>
      </c>
      <c r="N208" s="122">
        <v>0</v>
      </c>
      <c r="O208" s="122">
        <v>47984</v>
      </c>
    </row>
    <row r="209" spans="1:15" ht="19.5" customHeight="1" x14ac:dyDescent="0.3">
      <c r="A209" s="133" t="s">
        <v>90</v>
      </c>
      <c r="B209" s="132" t="s">
        <v>132</v>
      </c>
      <c r="C209" s="121">
        <v>88716</v>
      </c>
      <c r="D209" s="121">
        <v>0</v>
      </c>
      <c r="E209" s="121">
        <v>9972</v>
      </c>
      <c r="F209" s="121">
        <v>0</v>
      </c>
      <c r="G209" s="121">
        <v>9972</v>
      </c>
      <c r="H209" s="122">
        <v>0</v>
      </c>
      <c r="I209" s="122">
        <v>52437</v>
      </c>
      <c r="J209" s="122">
        <v>0</v>
      </c>
      <c r="K209" s="122">
        <v>52437</v>
      </c>
      <c r="L209" s="122">
        <v>0</v>
      </c>
      <c r="M209" s="122">
        <v>26307</v>
      </c>
      <c r="N209" s="122">
        <v>0</v>
      </c>
      <c r="O209" s="122">
        <v>26307</v>
      </c>
    </row>
    <row r="210" spans="1:15" ht="19.5" customHeight="1" x14ac:dyDescent="0.25">
      <c r="A210" s="134"/>
      <c r="B210" s="134" t="s">
        <v>0</v>
      </c>
      <c r="C210" s="135">
        <v>60881614</v>
      </c>
      <c r="D210" s="135">
        <v>1912409</v>
      </c>
      <c r="E210" s="135">
        <v>2682222</v>
      </c>
      <c r="F210" s="135">
        <v>80513</v>
      </c>
      <c r="G210" s="135">
        <v>4675144</v>
      </c>
      <c r="H210" s="135">
        <v>13479585</v>
      </c>
      <c r="I210" s="135">
        <v>33143668</v>
      </c>
      <c r="J210" s="135">
        <v>511013</v>
      </c>
      <c r="K210" s="135">
        <v>47134266</v>
      </c>
      <c r="L210" s="135">
        <v>2829441</v>
      </c>
      <c r="M210" s="135">
        <v>6122903</v>
      </c>
      <c r="N210" s="135">
        <v>119860</v>
      </c>
      <c r="O210" s="135">
        <v>9072204</v>
      </c>
    </row>
    <row r="212" spans="1:15" ht="15.75" x14ac:dyDescent="0.25">
      <c r="A212" s="150" t="s">
        <v>112</v>
      </c>
      <c r="B212" s="150"/>
      <c r="C212" s="150"/>
      <c r="D212" s="150"/>
      <c r="E212" s="150"/>
      <c r="F212" s="150"/>
      <c r="G212" s="150"/>
      <c r="H212" s="150"/>
      <c r="I212" s="150"/>
      <c r="J212" s="150"/>
      <c r="K212" s="150"/>
      <c r="L212" s="150"/>
      <c r="M212" s="150"/>
      <c r="N212" s="150"/>
      <c r="O212" s="150"/>
    </row>
    <row r="213" spans="1:15" ht="15.75" x14ac:dyDescent="0.25">
      <c r="A213" s="136"/>
      <c r="B213" s="136"/>
      <c r="C213" s="136"/>
      <c r="D213" s="136"/>
      <c r="E213" s="136"/>
      <c r="F213" s="136"/>
      <c r="G213" s="136"/>
      <c r="H213" s="136"/>
      <c r="I213" s="136"/>
      <c r="J213" s="136"/>
      <c r="K213" s="136"/>
      <c r="L213" s="136"/>
      <c r="M213" s="136"/>
      <c r="N213" s="136"/>
      <c r="O213" s="136"/>
    </row>
    <row r="214" spans="1:15" s="126" customFormat="1" ht="19.5" customHeight="1" x14ac:dyDescent="0.25">
      <c r="A214" s="144" t="s">
        <v>17</v>
      </c>
      <c r="B214" s="144" t="s">
        <v>33</v>
      </c>
      <c r="C214" s="144" t="s">
        <v>121</v>
      </c>
      <c r="D214" s="144" t="s">
        <v>69</v>
      </c>
      <c r="E214" s="144"/>
      <c r="F214" s="144"/>
      <c r="G214" s="144"/>
      <c r="H214" s="144"/>
      <c r="I214" s="144"/>
      <c r="J214" s="144"/>
      <c r="K214" s="144"/>
      <c r="L214" s="144"/>
      <c r="M214" s="144"/>
      <c r="N214" s="144"/>
      <c r="O214" s="144"/>
    </row>
    <row r="215" spans="1:15" s="126" customFormat="1" ht="35.25" customHeight="1" x14ac:dyDescent="0.25">
      <c r="A215" s="144"/>
      <c r="B215" s="144"/>
      <c r="C215" s="144"/>
      <c r="D215" s="146" t="s">
        <v>36</v>
      </c>
      <c r="E215" s="146"/>
      <c r="F215" s="146"/>
      <c r="G215" s="146"/>
      <c r="H215" s="147" t="s">
        <v>37</v>
      </c>
      <c r="I215" s="148"/>
      <c r="J215" s="148"/>
      <c r="K215" s="149"/>
      <c r="L215" s="147" t="s">
        <v>38</v>
      </c>
      <c r="M215" s="148"/>
      <c r="N215" s="148"/>
      <c r="O215" s="149"/>
    </row>
    <row r="216" spans="1:15" s="126" customFormat="1" ht="70.5" customHeight="1" x14ac:dyDescent="0.25">
      <c r="A216" s="144"/>
      <c r="B216" s="144"/>
      <c r="C216" s="144"/>
      <c r="D216" s="127" t="s">
        <v>66</v>
      </c>
      <c r="E216" s="127" t="s">
        <v>67</v>
      </c>
      <c r="F216" s="127" t="s">
        <v>68</v>
      </c>
      <c r="G216" s="127" t="s">
        <v>70</v>
      </c>
      <c r="H216" s="128" t="s">
        <v>66</v>
      </c>
      <c r="I216" s="128" t="s">
        <v>67</v>
      </c>
      <c r="J216" s="128" t="s">
        <v>68</v>
      </c>
      <c r="K216" s="128" t="s">
        <v>71</v>
      </c>
      <c r="L216" s="128" t="s">
        <v>66</v>
      </c>
      <c r="M216" s="128" t="s">
        <v>67</v>
      </c>
      <c r="N216" s="128" t="s">
        <v>68</v>
      </c>
      <c r="O216" s="128" t="s">
        <v>72</v>
      </c>
    </row>
    <row r="217" spans="1:15" s="131" customFormat="1" ht="19.5" customHeight="1" x14ac:dyDescent="0.25">
      <c r="A217" s="129">
        <v>1</v>
      </c>
      <c r="B217" s="129">
        <v>2</v>
      </c>
      <c r="C217" s="129">
        <v>3</v>
      </c>
      <c r="D217" s="129">
        <v>4</v>
      </c>
      <c r="E217" s="129">
        <v>5</v>
      </c>
      <c r="F217" s="129">
        <v>6</v>
      </c>
      <c r="G217" s="129">
        <v>7</v>
      </c>
      <c r="H217" s="130">
        <v>8</v>
      </c>
      <c r="I217" s="130">
        <v>9</v>
      </c>
      <c r="J217" s="130">
        <v>10</v>
      </c>
      <c r="K217" s="130">
        <v>11</v>
      </c>
      <c r="L217" s="130">
        <v>12</v>
      </c>
      <c r="M217" s="130">
        <v>13</v>
      </c>
      <c r="N217" s="130">
        <v>14</v>
      </c>
      <c r="O217" s="130">
        <v>15</v>
      </c>
    </row>
    <row r="218" spans="1:15" s="131" customFormat="1" ht="29.25" customHeight="1" x14ac:dyDescent="0.3">
      <c r="A218" s="129" t="s">
        <v>16</v>
      </c>
      <c r="B218" s="132" t="s">
        <v>15</v>
      </c>
      <c r="C218" s="121">
        <v>3335646</v>
      </c>
      <c r="D218" s="121">
        <v>114228</v>
      </c>
      <c r="E218" s="121">
        <v>271204</v>
      </c>
      <c r="F218" s="121">
        <v>6106</v>
      </c>
      <c r="G218" s="121">
        <v>391538</v>
      </c>
      <c r="H218" s="121">
        <v>621001</v>
      </c>
      <c r="I218" s="121">
        <v>1474411</v>
      </c>
      <c r="J218" s="121">
        <v>33197</v>
      </c>
      <c r="K218" s="122">
        <v>2128609</v>
      </c>
      <c r="L218" s="121">
        <v>237914</v>
      </c>
      <c r="M218" s="121">
        <v>564866</v>
      </c>
      <c r="N218" s="121">
        <v>12719</v>
      </c>
      <c r="O218" s="122">
        <v>815499</v>
      </c>
    </row>
    <row r="219" spans="1:15" ht="34.5" customHeight="1" x14ac:dyDescent="0.3">
      <c r="A219" s="133" t="s">
        <v>24</v>
      </c>
      <c r="B219" s="132" t="s">
        <v>14</v>
      </c>
      <c r="C219" s="121">
        <v>368077</v>
      </c>
      <c r="D219" s="121">
        <v>24175</v>
      </c>
      <c r="E219" s="121">
        <v>18828</v>
      </c>
      <c r="F219" s="121">
        <v>0</v>
      </c>
      <c r="G219" s="121">
        <v>43003</v>
      </c>
      <c r="H219" s="121">
        <v>126165</v>
      </c>
      <c r="I219" s="121">
        <v>98255</v>
      </c>
      <c r="J219" s="121">
        <v>0</v>
      </c>
      <c r="K219" s="122">
        <v>224420</v>
      </c>
      <c r="L219" s="121">
        <v>56586</v>
      </c>
      <c r="M219" s="121">
        <v>44068</v>
      </c>
      <c r="N219" s="121">
        <v>0</v>
      </c>
      <c r="O219" s="122">
        <v>100654</v>
      </c>
    </row>
    <row r="220" spans="1:15" ht="30" customHeight="1" x14ac:dyDescent="0.3">
      <c r="A220" s="133" t="s">
        <v>24</v>
      </c>
      <c r="B220" s="132" t="s">
        <v>13</v>
      </c>
      <c r="C220" s="121">
        <v>923163</v>
      </c>
      <c r="D220" s="121">
        <v>0</v>
      </c>
      <c r="E220" s="121">
        <v>83592</v>
      </c>
      <c r="F220" s="121">
        <v>0</v>
      </c>
      <c r="G220" s="121">
        <v>83592</v>
      </c>
      <c r="H220" s="121">
        <v>0</v>
      </c>
      <c r="I220" s="121">
        <v>634398</v>
      </c>
      <c r="J220" s="121">
        <v>0</v>
      </c>
      <c r="K220" s="122">
        <v>634398</v>
      </c>
      <c r="L220" s="121">
        <v>0</v>
      </c>
      <c r="M220" s="121">
        <v>205173</v>
      </c>
      <c r="N220" s="121">
        <v>0</v>
      </c>
      <c r="O220" s="122">
        <v>205173</v>
      </c>
    </row>
    <row r="221" spans="1:15" ht="33.75" customHeight="1" x14ac:dyDescent="0.3">
      <c r="A221" s="133" t="s">
        <v>22</v>
      </c>
      <c r="B221" s="132" t="s">
        <v>12</v>
      </c>
      <c r="C221" s="121">
        <v>122062</v>
      </c>
      <c r="D221" s="121">
        <v>12496</v>
      </c>
      <c r="E221" s="121">
        <v>0</v>
      </c>
      <c r="F221" s="121">
        <v>0</v>
      </c>
      <c r="G221" s="121">
        <v>12496</v>
      </c>
      <c r="H221" s="121">
        <v>81570</v>
      </c>
      <c r="I221" s="121">
        <v>0</v>
      </c>
      <c r="J221" s="121">
        <v>0</v>
      </c>
      <c r="K221" s="122">
        <v>81570</v>
      </c>
      <c r="L221" s="121">
        <v>27996</v>
      </c>
      <c r="M221" s="121">
        <v>0</v>
      </c>
      <c r="N221" s="121">
        <v>0</v>
      </c>
      <c r="O221" s="122">
        <v>27996</v>
      </c>
    </row>
    <row r="222" spans="1:15" ht="45" customHeight="1" x14ac:dyDescent="0.3">
      <c r="A222" s="133" t="s">
        <v>23</v>
      </c>
      <c r="B222" s="132" t="s">
        <v>11</v>
      </c>
      <c r="C222" s="121">
        <v>282875</v>
      </c>
      <c r="D222" s="121">
        <v>10404</v>
      </c>
      <c r="E222" s="121">
        <v>12951</v>
      </c>
      <c r="F222" s="121">
        <v>3275</v>
      </c>
      <c r="G222" s="121">
        <v>26630</v>
      </c>
      <c r="H222" s="121">
        <v>73817</v>
      </c>
      <c r="I222" s="121">
        <v>91893</v>
      </c>
      <c r="J222" s="121">
        <v>23236</v>
      </c>
      <c r="K222" s="122">
        <v>188946</v>
      </c>
      <c r="L222" s="121">
        <v>26292</v>
      </c>
      <c r="M222" s="121">
        <v>32731</v>
      </c>
      <c r="N222" s="121">
        <v>8276</v>
      </c>
      <c r="O222" s="122">
        <v>67299</v>
      </c>
    </row>
    <row r="223" spans="1:15" ht="19.5" customHeight="1" x14ac:dyDescent="0.3">
      <c r="A223" s="133" t="s">
        <v>20</v>
      </c>
      <c r="B223" s="132" t="s">
        <v>34</v>
      </c>
      <c r="C223" s="121">
        <v>186118</v>
      </c>
      <c r="D223" s="121">
        <v>21204</v>
      </c>
      <c r="E223" s="121">
        <v>0</v>
      </c>
      <c r="F223" s="121">
        <v>0</v>
      </c>
      <c r="G223" s="121">
        <v>21204</v>
      </c>
      <c r="H223" s="121">
        <v>110664</v>
      </c>
      <c r="I223" s="121">
        <v>0</v>
      </c>
      <c r="J223" s="121">
        <v>0</v>
      </c>
      <c r="K223" s="122">
        <v>110664</v>
      </c>
      <c r="L223" s="121">
        <v>54250</v>
      </c>
      <c r="M223" s="121">
        <v>0</v>
      </c>
      <c r="N223" s="121">
        <v>0</v>
      </c>
      <c r="O223" s="122">
        <v>54250</v>
      </c>
    </row>
    <row r="224" spans="1:15" ht="34.5" customHeight="1" x14ac:dyDescent="0.3">
      <c r="A224" s="133" t="s">
        <v>22</v>
      </c>
      <c r="B224" s="132" t="s">
        <v>10</v>
      </c>
      <c r="C224" s="121">
        <v>961105</v>
      </c>
      <c r="D224" s="121">
        <v>30221</v>
      </c>
      <c r="E224" s="121">
        <v>40310</v>
      </c>
      <c r="F224" s="121">
        <v>2167</v>
      </c>
      <c r="G224" s="121">
        <v>72698</v>
      </c>
      <c r="H224" s="121">
        <v>274358</v>
      </c>
      <c r="I224" s="121">
        <v>365959</v>
      </c>
      <c r="J224" s="121">
        <v>19674</v>
      </c>
      <c r="K224" s="122">
        <v>659991</v>
      </c>
      <c r="L224" s="121">
        <v>94953</v>
      </c>
      <c r="M224" s="121">
        <v>126654</v>
      </c>
      <c r="N224" s="121">
        <v>6809</v>
      </c>
      <c r="O224" s="122">
        <v>228416</v>
      </c>
    </row>
    <row r="225" spans="1:15" ht="19.5" customHeight="1" x14ac:dyDescent="0.3">
      <c r="A225" s="133" t="s">
        <v>21</v>
      </c>
      <c r="B225" s="132" t="s">
        <v>9</v>
      </c>
      <c r="C225" s="121">
        <v>1116201</v>
      </c>
      <c r="D225" s="121">
        <v>256588</v>
      </c>
      <c r="E225" s="121">
        <v>91140</v>
      </c>
      <c r="F225" s="121">
        <v>4136</v>
      </c>
      <c r="G225" s="121">
        <v>351864</v>
      </c>
      <c r="H225" s="121">
        <v>550126</v>
      </c>
      <c r="I225" s="121">
        <v>195403</v>
      </c>
      <c r="J225" s="121">
        <v>8868</v>
      </c>
      <c r="K225" s="122">
        <v>754397</v>
      </c>
      <c r="L225" s="121">
        <v>7335</v>
      </c>
      <c r="M225" s="121">
        <v>2605</v>
      </c>
      <c r="N225" s="121">
        <v>0</v>
      </c>
      <c r="O225" s="122">
        <v>9940</v>
      </c>
    </row>
    <row r="226" spans="1:15" ht="19.5" customHeight="1" x14ac:dyDescent="0.3">
      <c r="A226" s="133" t="s">
        <v>20</v>
      </c>
      <c r="B226" s="132" t="s">
        <v>8</v>
      </c>
      <c r="C226" s="121">
        <v>821228</v>
      </c>
      <c r="D226" s="121">
        <v>7044</v>
      </c>
      <c r="E226" s="121">
        <v>16722</v>
      </c>
      <c r="F226" s="121">
        <v>0</v>
      </c>
      <c r="G226" s="121">
        <v>23766</v>
      </c>
      <c r="H226" s="121">
        <v>136449</v>
      </c>
      <c r="I226" s="121">
        <v>323924</v>
      </c>
      <c r="J226" s="121">
        <v>0</v>
      </c>
      <c r="K226" s="122">
        <v>460373</v>
      </c>
      <c r="L226" s="121">
        <v>99909</v>
      </c>
      <c r="M226" s="121">
        <v>237180</v>
      </c>
      <c r="N226" s="121">
        <v>0</v>
      </c>
      <c r="O226" s="122">
        <v>337089</v>
      </c>
    </row>
    <row r="227" spans="1:15" ht="19.5" customHeight="1" x14ac:dyDescent="0.3">
      <c r="A227" s="133" t="s">
        <v>26</v>
      </c>
      <c r="B227" s="132" t="s">
        <v>7</v>
      </c>
      <c r="C227" s="121">
        <v>8179162</v>
      </c>
      <c r="D227" s="121">
        <v>3547</v>
      </c>
      <c r="E227" s="121">
        <v>84626</v>
      </c>
      <c r="F227" s="121">
        <v>0</v>
      </c>
      <c r="G227" s="121">
        <v>88173</v>
      </c>
      <c r="H227" s="121">
        <v>311957</v>
      </c>
      <c r="I227" s="121">
        <v>7446142</v>
      </c>
      <c r="J227" s="121">
        <v>0</v>
      </c>
      <c r="K227" s="122">
        <v>7758099</v>
      </c>
      <c r="L227" s="121">
        <v>13384</v>
      </c>
      <c r="M227" s="121">
        <v>319506</v>
      </c>
      <c r="N227" s="121">
        <v>0</v>
      </c>
      <c r="O227" s="122">
        <v>332890</v>
      </c>
    </row>
    <row r="228" spans="1:15" ht="19.5" customHeight="1" x14ac:dyDescent="0.3">
      <c r="A228" s="133" t="s">
        <v>20</v>
      </c>
      <c r="B228" s="132" t="s">
        <v>6</v>
      </c>
      <c r="C228" s="121">
        <v>470351</v>
      </c>
      <c r="D228" s="121">
        <v>1407</v>
      </c>
      <c r="E228" s="121">
        <v>2054</v>
      </c>
      <c r="F228" s="121">
        <v>0</v>
      </c>
      <c r="G228" s="121">
        <v>3461</v>
      </c>
      <c r="H228" s="121">
        <v>247382</v>
      </c>
      <c r="I228" s="121">
        <v>209547</v>
      </c>
      <c r="J228" s="121">
        <v>6860</v>
      </c>
      <c r="K228" s="122">
        <v>463789</v>
      </c>
      <c r="L228" s="121">
        <v>1798</v>
      </c>
      <c r="M228" s="121">
        <v>1303</v>
      </c>
      <c r="N228" s="121">
        <v>0</v>
      </c>
      <c r="O228" s="122">
        <v>3101</v>
      </c>
    </row>
    <row r="229" spans="1:15" ht="19.5" customHeight="1" x14ac:dyDescent="0.3">
      <c r="A229" s="133" t="s">
        <v>19</v>
      </c>
      <c r="B229" s="132" t="s">
        <v>5</v>
      </c>
      <c r="C229" s="121">
        <v>624520</v>
      </c>
      <c r="D229" s="121">
        <v>53437</v>
      </c>
      <c r="E229" s="121">
        <v>32630</v>
      </c>
      <c r="F229" s="121">
        <v>5513</v>
      </c>
      <c r="G229" s="121">
        <v>91580</v>
      </c>
      <c r="H229" s="121">
        <v>306766</v>
      </c>
      <c r="I229" s="121">
        <v>187316</v>
      </c>
      <c r="J229" s="121">
        <v>31650</v>
      </c>
      <c r="K229" s="122">
        <v>525732</v>
      </c>
      <c r="L229" s="121">
        <v>3958</v>
      </c>
      <c r="M229" s="121">
        <v>2417</v>
      </c>
      <c r="N229" s="121">
        <v>833</v>
      </c>
      <c r="O229" s="122">
        <v>7208</v>
      </c>
    </row>
    <row r="230" spans="1:15" ht="19.5" customHeight="1" x14ac:dyDescent="0.3">
      <c r="A230" s="133" t="s">
        <v>18</v>
      </c>
      <c r="B230" s="132" t="s">
        <v>4</v>
      </c>
      <c r="C230" s="121">
        <v>650359</v>
      </c>
      <c r="D230" s="121">
        <v>11482</v>
      </c>
      <c r="E230" s="121">
        <v>14312</v>
      </c>
      <c r="F230" s="121">
        <v>0</v>
      </c>
      <c r="G230" s="121">
        <v>25794</v>
      </c>
      <c r="H230" s="121">
        <v>276349</v>
      </c>
      <c r="I230" s="121">
        <v>344458</v>
      </c>
      <c r="J230" s="121">
        <v>0</v>
      </c>
      <c r="K230" s="122">
        <v>620807</v>
      </c>
      <c r="L230" s="121">
        <v>1673</v>
      </c>
      <c r="M230" s="121">
        <v>2085</v>
      </c>
      <c r="N230" s="121">
        <v>0</v>
      </c>
      <c r="O230" s="122">
        <v>3758</v>
      </c>
    </row>
    <row r="231" spans="1:15" ht="19.5" customHeight="1" x14ac:dyDescent="0.3">
      <c r="A231" s="133" t="s">
        <v>25</v>
      </c>
      <c r="B231" s="132" t="s">
        <v>3</v>
      </c>
      <c r="C231" s="121">
        <v>649585</v>
      </c>
      <c r="D231" s="121">
        <v>25140</v>
      </c>
      <c r="E231" s="121">
        <v>9881</v>
      </c>
      <c r="F231" s="121">
        <v>926</v>
      </c>
      <c r="G231" s="121">
        <v>35947</v>
      </c>
      <c r="H231" s="121">
        <v>337089</v>
      </c>
      <c r="I231" s="121">
        <v>132496</v>
      </c>
      <c r="J231" s="121">
        <v>12421</v>
      </c>
      <c r="K231" s="122">
        <v>482006</v>
      </c>
      <c r="L231" s="121">
        <v>92056</v>
      </c>
      <c r="M231" s="121">
        <v>36184</v>
      </c>
      <c r="N231" s="121">
        <v>3392</v>
      </c>
      <c r="O231" s="122">
        <v>131632</v>
      </c>
    </row>
    <row r="232" spans="1:15" ht="97.5" customHeight="1" x14ac:dyDescent="0.3">
      <c r="A232" s="133" t="s">
        <v>30</v>
      </c>
      <c r="B232" s="132" t="s">
        <v>130</v>
      </c>
      <c r="C232" s="121">
        <v>76745</v>
      </c>
      <c r="D232" s="121">
        <v>2241</v>
      </c>
      <c r="E232" s="121">
        <v>0</v>
      </c>
      <c r="F232" s="121">
        <v>0</v>
      </c>
      <c r="G232" s="121">
        <v>2241</v>
      </c>
      <c r="H232" s="121">
        <v>69092</v>
      </c>
      <c r="I232" s="121">
        <v>0</v>
      </c>
      <c r="J232" s="121">
        <v>0</v>
      </c>
      <c r="K232" s="122">
        <v>69092</v>
      </c>
      <c r="L232" s="121">
        <v>5412</v>
      </c>
      <c r="M232" s="121">
        <v>0</v>
      </c>
      <c r="N232" s="121">
        <v>0</v>
      </c>
      <c r="O232" s="122">
        <v>5412</v>
      </c>
    </row>
    <row r="233" spans="1:15" ht="102.75" customHeight="1" x14ac:dyDescent="0.3">
      <c r="A233" s="133" t="s">
        <v>31</v>
      </c>
      <c r="B233" s="132" t="s">
        <v>131</v>
      </c>
      <c r="C233" s="121">
        <v>50474</v>
      </c>
      <c r="D233" s="121">
        <v>3686</v>
      </c>
      <c r="E233" s="121">
        <v>0</v>
      </c>
      <c r="F233" s="121">
        <v>0</v>
      </c>
      <c r="G233" s="121">
        <v>3686</v>
      </c>
      <c r="H233" s="121">
        <v>45219</v>
      </c>
      <c r="I233" s="121">
        <v>0</v>
      </c>
      <c r="J233" s="121">
        <v>0</v>
      </c>
      <c r="K233" s="122">
        <v>45219</v>
      </c>
      <c r="L233" s="121">
        <v>1569</v>
      </c>
      <c r="M233" s="121">
        <v>0</v>
      </c>
      <c r="N233" s="121">
        <v>0</v>
      </c>
      <c r="O233" s="122">
        <v>1569</v>
      </c>
    </row>
    <row r="234" spans="1:15" ht="19.5" customHeight="1" x14ac:dyDescent="0.3">
      <c r="A234" s="133" t="s">
        <v>32</v>
      </c>
      <c r="B234" s="132" t="s">
        <v>73</v>
      </c>
      <c r="C234" s="121">
        <v>41463</v>
      </c>
      <c r="D234" s="121">
        <v>5785</v>
      </c>
      <c r="E234" s="121">
        <v>0</v>
      </c>
      <c r="F234" s="121">
        <v>0</v>
      </c>
      <c r="G234" s="121">
        <v>5785</v>
      </c>
      <c r="H234" s="121">
        <v>20704</v>
      </c>
      <c r="I234" s="121">
        <v>0</v>
      </c>
      <c r="J234" s="121">
        <v>0</v>
      </c>
      <c r="K234" s="122">
        <v>20704</v>
      </c>
      <c r="L234" s="121">
        <v>14974</v>
      </c>
      <c r="M234" s="121">
        <v>0</v>
      </c>
      <c r="N234" s="121">
        <v>0</v>
      </c>
      <c r="O234" s="122">
        <v>14974</v>
      </c>
    </row>
    <row r="235" spans="1:15" ht="19.5" customHeight="1" x14ac:dyDescent="0.3">
      <c r="A235" s="133" t="s">
        <v>90</v>
      </c>
      <c r="B235" s="132" t="s">
        <v>132</v>
      </c>
      <c r="C235" s="121">
        <v>29573</v>
      </c>
      <c r="D235" s="121">
        <v>0</v>
      </c>
      <c r="E235" s="121">
        <v>3324</v>
      </c>
      <c r="F235" s="121">
        <v>0</v>
      </c>
      <c r="G235" s="121">
        <v>3324</v>
      </c>
      <c r="H235" s="121">
        <v>0</v>
      </c>
      <c r="I235" s="121">
        <v>17480</v>
      </c>
      <c r="J235" s="121">
        <v>0</v>
      </c>
      <c r="K235" s="122">
        <v>17480</v>
      </c>
      <c r="L235" s="121">
        <v>0</v>
      </c>
      <c r="M235" s="121">
        <v>8769</v>
      </c>
      <c r="N235" s="121">
        <v>0</v>
      </c>
      <c r="O235" s="122">
        <v>8769</v>
      </c>
    </row>
    <row r="236" spans="1:15" ht="19.5" customHeight="1" x14ac:dyDescent="0.25">
      <c r="A236" s="134"/>
      <c r="B236" s="134" t="s">
        <v>0</v>
      </c>
      <c r="C236" s="135">
        <v>18888707</v>
      </c>
      <c r="D236" s="135">
        <v>583085</v>
      </c>
      <c r="E236" s="135">
        <v>681574</v>
      </c>
      <c r="F236" s="135">
        <v>22123</v>
      </c>
      <c r="G236" s="135">
        <v>1286782</v>
      </c>
      <c r="H236" s="135">
        <v>3588708</v>
      </c>
      <c r="I236" s="135">
        <v>11521682</v>
      </c>
      <c r="J236" s="135">
        <v>135906</v>
      </c>
      <c r="K236" s="135">
        <v>15246296</v>
      </c>
      <c r="L236" s="135">
        <v>740059</v>
      </c>
      <c r="M236" s="135">
        <v>1583541</v>
      </c>
      <c r="N236" s="135">
        <v>32029</v>
      </c>
      <c r="O236" s="135">
        <v>2355629</v>
      </c>
    </row>
    <row r="238" spans="1:15" ht="15.75" x14ac:dyDescent="0.25">
      <c r="A238" s="150" t="s">
        <v>112</v>
      </c>
      <c r="B238" s="150"/>
      <c r="C238" s="150"/>
      <c r="D238" s="150"/>
      <c r="E238" s="150"/>
      <c r="F238" s="150"/>
      <c r="G238" s="150"/>
      <c r="H238" s="150"/>
      <c r="I238" s="150"/>
      <c r="J238" s="150"/>
      <c r="K238" s="150"/>
      <c r="L238" s="150"/>
      <c r="M238" s="150"/>
      <c r="N238" s="150"/>
      <c r="O238" s="150"/>
    </row>
    <row r="239" spans="1:15" ht="15.75" x14ac:dyDescent="0.25">
      <c r="A239" s="136"/>
      <c r="B239" s="136"/>
      <c r="C239" s="136"/>
      <c r="D239" s="136"/>
      <c r="E239" s="136"/>
      <c r="F239" s="136"/>
      <c r="G239" s="136"/>
      <c r="H239" s="136"/>
      <c r="I239" s="136"/>
      <c r="J239" s="136"/>
      <c r="K239" s="136"/>
      <c r="L239" s="136"/>
      <c r="M239" s="136"/>
      <c r="N239" s="136"/>
      <c r="O239" s="136"/>
    </row>
    <row r="240" spans="1:15" s="126" customFormat="1" ht="19.5" customHeight="1" x14ac:dyDescent="0.25">
      <c r="A240" s="144" t="s">
        <v>17</v>
      </c>
      <c r="B240" s="144" t="s">
        <v>33</v>
      </c>
      <c r="C240" s="144" t="s">
        <v>122</v>
      </c>
      <c r="D240" s="144" t="s">
        <v>69</v>
      </c>
      <c r="E240" s="144"/>
      <c r="F240" s="144"/>
      <c r="G240" s="144"/>
      <c r="H240" s="144"/>
      <c r="I240" s="144"/>
      <c r="J240" s="144"/>
      <c r="K240" s="144"/>
      <c r="L240" s="144"/>
      <c r="M240" s="144"/>
      <c r="N240" s="144"/>
      <c r="O240" s="144"/>
    </row>
    <row r="241" spans="1:15" s="126" customFormat="1" ht="33.75" customHeight="1" x14ac:dyDescent="0.25">
      <c r="A241" s="144"/>
      <c r="B241" s="144"/>
      <c r="C241" s="144"/>
      <c r="D241" s="146" t="s">
        <v>36</v>
      </c>
      <c r="E241" s="146"/>
      <c r="F241" s="146"/>
      <c r="G241" s="146"/>
      <c r="H241" s="147" t="s">
        <v>37</v>
      </c>
      <c r="I241" s="148"/>
      <c r="J241" s="148"/>
      <c r="K241" s="149"/>
      <c r="L241" s="147" t="s">
        <v>38</v>
      </c>
      <c r="M241" s="148"/>
      <c r="N241" s="148"/>
      <c r="O241" s="149"/>
    </row>
    <row r="242" spans="1:15" s="126" customFormat="1" ht="44.25" customHeight="1" x14ac:dyDescent="0.25">
      <c r="A242" s="144"/>
      <c r="B242" s="144"/>
      <c r="C242" s="144"/>
      <c r="D242" s="127" t="s">
        <v>66</v>
      </c>
      <c r="E242" s="127" t="s">
        <v>67</v>
      </c>
      <c r="F242" s="127" t="s">
        <v>68</v>
      </c>
      <c r="G242" s="127" t="s">
        <v>70</v>
      </c>
      <c r="H242" s="128" t="s">
        <v>66</v>
      </c>
      <c r="I242" s="128" t="s">
        <v>67</v>
      </c>
      <c r="J242" s="128" t="s">
        <v>68</v>
      </c>
      <c r="K242" s="128" t="s">
        <v>71</v>
      </c>
      <c r="L242" s="128" t="s">
        <v>66</v>
      </c>
      <c r="M242" s="128" t="s">
        <v>67</v>
      </c>
      <c r="N242" s="128" t="s">
        <v>68</v>
      </c>
      <c r="O242" s="128" t="s">
        <v>72</v>
      </c>
    </row>
    <row r="243" spans="1:15" s="131" customFormat="1" ht="19.5" customHeight="1" x14ac:dyDescent="0.25">
      <c r="A243" s="129">
        <v>1</v>
      </c>
      <c r="B243" s="129">
        <v>2</v>
      </c>
      <c r="C243" s="129">
        <v>3</v>
      </c>
      <c r="D243" s="129">
        <v>4</v>
      </c>
      <c r="E243" s="129">
        <v>5</v>
      </c>
      <c r="F243" s="129">
        <v>6</v>
      </c>
      <c r="G243" s="129">
        <v>7</v>
      </c>
      <c r="H243" s="130">
        <v>8</v>
      </c>
      <c r="I243" s="130">
        <v>9</v>
      </c>
      <c r="J243" s="130">
        <v>10</v>
      </c>
      <c r="K243" s="130">
        <v>11</v>
      </c>
      <c r="L243" s="130">
        <v>12</v>
      </c>
      <c r="M243" s="130">
        <v>13</v>
      </c>
      <c r="N243" s="130">
        <v>14</v>
      </c>
      <c r="O243" s="130">
        <v>15</v>
      </c>
    </row>
    <row r="244" spans="1:15" s="131" customFormat="1" ht="32.25" customHeight="1" x14ac:dyDescent="0.3">
      <c r="A244" s="129" t="s">
        <v>16</v>
      </c>
      <c r="B244" s="132" t="s">
        <v>15</v>
      </c>
      <c r="C244" s="121">
        <v>3293444</v>
      </c>
      <c r="D244" s="121">
        <v>112735</v>
      </c>
      <c r="E244" s="121">
        <v>267791</v>
      </c>
      <c r="F244" s="121">
        <v>6059</v>
      </c>
      <c r="G244" s="121">
        <v>386585</v>
      </c>
      <c r="H244" s="121">
        <v>612884</v>
      </c>
      <c r="I244" s="121">
        <v>1455852</v>
      </c>
      <c r="J244" s="121">
        <v>32942</v>
      </c>
      <c r="K244" s="122">
        <v>2101678</v>
      </c>
      <c r="L244" s="121">
        <v>234804</v>
      </c>
      <c r="M244" s="121">
        <v>557757</v>
      </c>
      <c r="N244" s="121">
        <v>12620</v>
      </c>
      <c r="O244" s="122">
        <v>805181</v>
      </c>
    </row>
    <row r="245" spans="1:15" ht="32.25" customHeight="1" x14ac:dyDescent="0.3">
      <c r="A245" s="133" t="s">
        <v>24</v>
      </c>
      <c r="B245" s="132" t="s">
        <v>14</v>
      </c>
      <c r="C245" s="121">
        <v>328440</v>
      </c>
      <c r="D245" s="121">
        <v>21609</v>
      </c>
      <c r="E245" s="121">
        <v>16763</v>
      </c>
      <c r="F245" s="121">
        <v>0</v>
      </c>
      <c r="G245" s="121">
        <v>38372</v>
      </c>
      <c r="H245" s="121">
        <v>112773</v>
      </c>
      <c r="I245" s="121">
        <v>87480</v>
      </c>
      <c r="J245" s="121">
        <v>0</v>
      </c>
      <c r="K245" s="122">
        <v>200253</v>
      </c>
      <c r="L245" s="121">
        <v>50579</v>
      </c>
      <c r="M245" s="121">
        <v>39236</v>
      </c>
      <c r="N245" s="121">
        <v>0</v>
      </c>
      <c r="O245" s="122">
        <v>89815</v>
      </c>
    </row>
    <row r="246" spans="1:15" ht="31.5" customHeight="1" x14ac:dyDescent="0.3">
      <c r="A246" s="133" t="s">
        <v>24</v>
      </c>
      <c r="B246" s="132" t="s">
        <v>13</v>
      </c>
      <c r="C246" s="121">
        <v>951485</v>
      </c>
      <c r="D246" s="121">
        <v>0</v>
      </c>
      <c r="E246" s="121">
        <v>86157</v>
      </c>
      <c r="F246" s="121">
        <v>0</v>
      </c>
      <c r="G246" s="121">
        <v>86157</v>
      </c>
      <c r="H246" s="121">
        <v>0</v>
      </c>
      <c r="I246" s="121">
        <v>653860</v>
      </c>
      <c r="J246" s="121">
        <v>0</v>
      </c>
      <c r="K246" s="122">
        <v>653860</v>
      </c>
      <c r="L246" s="121">
        <v>0</v>
      </c>
      <c r="M246" s="121">
        <v>211468</v>
      </c>
      <c r="N246" s="121">
        <v>0</v>
      </c>
      <c r="O246" s="122">
        <v>211468</v>
      </c>
    </row>
    <row r="247" spans="1:15" ht="34.5" customHeight="1" x14ac:dyDescent="0.3">
      <c r="A247" s="133" t="s">
        <v>22</v>
      </c>
      <c r="B247" s="132" t="s">
        <v>12</v>
      </c>
      <c r="C247" s="121">
        <v>123308</v>
      </c>
      <c r="D247" s="121">
        <v>12623</v>
      </c>
      <c r="E247" s="121">
        <v>0</v>
      </c>
      <c r="F247" s="121">
        <v>0</v>
      </c>
      <c r="G247" s="121">
        <v>12623</v>
      </c>
      <c r="H247" s="121">
        <v>82403</v>
      </c>
      <c r="I247" s="121">
        <v>0</v>
      </c>
      <c r="J247" s="121">
        <v>0</v>
      </c>
      <c r="K247" s="122">
        <v>82403</v>
      </c>
      <c r="L247" s="121">
        <v>28282</v>
      </c>
      <c r="M247" s="121">
        <v>0</v>
      </c>
      <c r="N247" s="121">
        <v>0</v>
      </c>
      <c r="O247" s="122">
        <v>28282</v>
      </c>
    </row>
    <row r="248" spans="1:15" ht="42" customHeight="1" x14ac:dyDescent="0.3">
      <c r="A248" s="133" t="s">
        <v>23</v>
      </c>
      <c r="B248" s="132" t="s">
        <v>11</v>
      </c>
      <c r="C248" s="121">
        <v>230054</v>
      </c>
      <c r="D248" s="121">
        <v>8140</v>
      </c>
      <c r="E248" s="121">
        <v>10789</v>
      </c>
      <c r="F248" s="121">
        <v>2728</v>
      </c>
      <c r="G248" s="121">
        <v>21657</v>
      </c>
      <c r="H248" s="121">
        <v>57757</v>
      </c>
      <c r="I248" s="121">
        <v>76551</v>
      </c>
      <c r="J248" s="121">
        <v>19357</v>
      </c>
      <c r="K248" s="122">
        <v>153665</v>
      </c>
      <c r="L248" s="121">
        <v>20572</v>
      </c>
      <c r="M248" s="121">
        <v>27266</v>
      </c>
      <c r="N248" s="121">
        <v>6894</v>
      </c>
      <c r="O248" s="122">
        <v>54732</v>
      </c>
    </row>
    <row r="249" spans="1:15" ht="19.5" customHeight="1" x14ac:dyDescent="0.3">
      <c r="A249" s="133" t="s">
        <v>20</v>
      </c>
      <c r="B249" s="132" t="s">
        <v>34</v>
      </c>
      <c r="C249" s="121">
        <v>190839</v>
      </c>
      <c r="D249" s="121">
        <v>21742</v>
      </c>
      <c r="E249" s="121">
        <v>0</v>
      </c>
      <c r="F249" s="121">
        <v>0</v>
      </c>
      <c r="G249" s="121">
        <v>21742</v>
      </c>
      <c r="H249" s="121">
        <v>113471</v>
      </c>
      <c r="I249" s="121">
        <v>0</v>
      </c>
      <c r="J249" s="121">
        <v>0</v>
      </c>
      <c r="K249" s="122">
        <v>113471</v>
      </c>
      <c r="L249" s="121">
        <v>55626</v>
      </c>
      <c r="M249" s="121">
        <v>0</v>
      </c>
      <c r="N249" s="121">
        <v>0</v>
      </c>
      <c r="O249" s="122">
        <v>55626</v>
      </c>
    </row>
    <row r="250" spans="1:15" ht="29.25" customHeight="1" x14ac:dyDescent="0.3">
      <c r="A250" s="133" t="s">
        <v>22</v>
      </c>
      <c r="B250" s="132" t="s">
        <v>10</v>
      </c>
      <c r="C250" s="121">
        <v>938827</v>
      </c>
      <c r="D250" s="121">
        <v>30606</v>
      </c>
      <c r="E250" s="121">
        <v>38646</v>
      </c>
      <c r="F250" s="121">
        <v>1761</v>
      </c>
      <c r="G250" s="121">
        <v>71013</v>
      </c>
      <c r="H250" s="121">
        <v>277856</v>
      </c>
      <c r="I250" s="121">
        <v>350850</v>
      </c>
      <c r="J250" s="121">
        <v>15986</v>
      </c>
      <c r="K250" s="122">
        <v>644692</v>
      </c>
      <c r="L250" s="121">
        <v>96163</v>
      </c>
      <c r="M250" s="121">
        <v>121427</v>
      </c>
      <c r="N250" s="121">
        <v>5532</v>
      </c>
      <c r="O250" s="122">
        <v>223122</v>
      </c>
    </row>
    <row r="251" spans="1:15" ht="19.5" customHeight="1" x14ac:dyDescent="0.3">
      <c r="A251" s="133" t="s">
        <v>21</v>
      </c>
      <c r="B251" s="132" t="s">
        <v>9</v>
      </c>
      <c r="C251" s="121">
        <v>819418</v>
      </c>
      <c r="D251" s="121">
        <v>179184</v>
      </c>
      <c r="E251" s="121">
        <v>76151</v>
      </c>
      <c r="F251" s="121">
        <v>2972</v>
      </c>
      <c r="G251" s="121">
        <v>258307</v>
      </c>
      <c r="H251" s="121">
        <v>384171</v>
      </c>
      <c r="I251" s="121">
        <v>163268</v>
      </c>
      <c r="J251" s="121">
        <v>6373</v>
      </c>
      <c r="K251" s="122">
        <v>553812</v>
      </c>
      <c r="L251" s="121">
        <v>5122</v>
      </c>
      <c r="M251" s="121">
        <v>2177</v>
      </c>
      <c r="N251" s="121">
        <v>0</v>
      </c>
      <c r="O251" s="122">
        <v>7299</v>
      </c>
    </row>
    <row r="252" spans="1:15" ht="19.5" customHeight="1" x14ac:dyDescent="0.3">
      <c r="A252" s="133" t="s">
        <v>25</v>
      </c>
      <c r="B252" s="132" t="s">
        <v>8</v>
      </c>
      <c r="C252" s="121">
        <v>1186038</v>
      </c>
      <c r="D252" s="121">
        <v>11875</v>
      </c>
      <c r="E252" s="121">
        <v>22449</v>
      </c>
      <c r="F252" s="121">
        <v>0</v>
      </c>
      <c r="G252" s="121">
        <v>34324</v>
      </c>
      <c r="H252" s="121">
        <v>230027</v>
      </c>
      <c r="I252" s="121">
        <v>434854</v>
      </c>
      <c r="J252" s="121">
        <v>0</v>
      </c>
      <c r="K252" s="122">
        <v>664881</v>
      </c>
      <c r="L252" s="121">
        <v>168429</v>
      </c>
      <c r="M252" s="121">
        <v>318404</v>
      </c>
      <c r="N252" s="121">
        <v>0</v>
      </c>
      <c r="O252" s="122">
        <v>486833</v>
      </c>
    </row>
    <row r="253" spans="1:15" ht="19.5" customHeight="1" x14ac:dyDescent="0.3">
      <c r="A253" s="133" t="s">
        <v>26</v>
      </c>
      <c r="B253" s="132" t="s">
        <v>7</v>
      </c>
      <c r="C253" s="121">
        <v>2308805</v>
      </c>
      <c r="D253" s="121">
        <v>3545</v>
      </c>
      <c r="E253" s="121">
        <v>21343</v>
      </c>
      <c r="F253" s="121">
        <v>0</v>
      </c>
      <c r="G253" s="121">
        <v>24888</v>
      </c>
      <c r="H253" s="121">
        <v>311957</v>
      </c>
      <c r="I253" s="121">
        <v>1877991</v>
      </c>
      <c r="J253" s="121">
        <v>0</v>
      </c>
      <c r="K253" s="122">
        <v>2189948</v>
      </c>
      <c r="L253" s="121">
        <v>13386</v>
      </c>
      <c r="M253" s="121">
        <v>80583</v>
      </c>
      <c r="N253" s="121">
        <v>0</v>
      </c>
      <c r="O253" s="122">
        <v>93969</v>
      </c>
    </row>
    <row r="254" spans="1:15" ht="19.5" customHeight="1" x14ac:dyDescent="0.3">
      <c r="A254" s="133" t="s">
        <v>20</v>
      </c>
      <c r="B254" s="132" t="s">
        <v>6</v>
      </c>
      <c r="C254" s="121">
        <v>633678</v>
      </c>
      <c r="D254" s="121">
        <v>0</v>
      </c>
      <c r="E254" s="121">
        <v>0</v>
      </c>
      <c r="F254" s="121">
        <v>0</v>
      </c>
      <c r="G254" s="121">
        <v>0</v>
      </c>
      <c r="H254" s="121">
        <v>310890</v>
      </c>
      <c r="I254" s="121">
        <v>316757</v>
      </c>
      <c r="J254" s="121">
        <v>6031</v>
      </c>
      <c r="K254" s="122">
        <v>633678</v>
      </c>
      <c r="L254" s="121">
        <v>0</v>
      </c>
      <c r="M254" s="121">
        <v>0</v>
      </c>
      <c r="N254" s="121">
        <v>0</v>
      </c>
      <c r="O254" s="122">
        <v>0</v>
      </c>
    </row>
    <row r="255" spans="1:15" ht="19.5" customHeight="1" x14ac:dyDescent="0.3">
      <c r="A255" s="133" t="s">
        <v>19</v>
      </c>
      <c r="B255" s="132" t="s">
        <v>5</v>
      </c>
      <c r="C255" s="121">
        <v>733719</v>
      </c>
      <c r="D255" s="121">
        <v>46760</v>
      </c>
      <c r="E255" s="121">
        <v>59214</v>
      </c>
      <c r="F255" s="121">
        <v>1710</v>
      </c>
      <c r="G255" s="121">
        <v>107684</v>
      </c>
      <c r="H255" s="121">
        <v>268438</v>
      </c>
      <c r="I255" s="121">
        <v>339929</v>
      </c>
      <c r="J255" s="121">
        <v>9818</v>
      </c>
      <c r="K255" s="122">
        <v>618185</v>
      </c>
      <c r="L255" s="121">
        <v>3464</v>
      </c>
      <c r="M255" s="121">
        <v>4386</v>
      </c>
      <c r="N255" s="121">
        <v>0</v>
      </c>
      <c r="O255" s="122">
        <v>7850</v>
      </c>
    </row>
    <row r="256" spans="1:15" ht="19.5" customHeight="1" x14ac:dyDescent="0.3">
      <c r="A256" s="133" t="s">
        <v>18</v>
      </c>
      <c r="B256" s="132" t="s">
        <v>4</v>
      </c>
      <c r="C256" s="121">
        <v>647934</v>
      </c>
      <c r="D256" s="121">
        <v>11439</v>
      </c>
      <c r="E256" s="121">
        <v>14258</v>
      </c>
      <c r="F256" s="121">
        <v>0</v>
      </c>
      <c r="G256" s="121">
        <v>25697</v>
      </c>
      <c r="H256" s="121">
        <v>275319</v>
      </c>
      <c r="I256" s="121">
        <v>343173</v>
      </c>
      <c r="J256" s="121">
        <v>0</v>
      </c>
      <c r="K256" s="122">
        <v>618492</v>
      </c>
      <c r="L256" s="121">
        <v>1667</v>
      </c>
      <c r="M256" s="121">
        <v>2078</v>
      </c>
      <c r="N256" s="121">
        <v>0</v>
      </c>
      <c r="O256" s="122">
        <v>3745</v>
      </c>
    </row>
    <row r="257" spans="1:15" ht="19.5" customHeight="1" x14ac:dyDescent="0.3">
      <c r="A257" s="133" t="s">
        <v>25</v>
      </c>
      <c r="B257" s="132" t="s">
        <v>3</v>
      </c>
      <c r="C257" s="121">
        <v>594664</v>
      </c>
      <c r="D257" s="121">
        <v>21403</v>
      </c>
      <c r="E257" s="121">
        <v>10519</v>
      </c>
      <c r="F257" s="121">
        <v>986</v>
      </c>
      <c r="G257" s="121">
        <v>32908</v>
      </c>
      <c r="H257" s="121">
        <v>286984</v>
      </c>
      <c r="I257" s="121">
        <v>141046</v>
      </c>
      <c r="J257" s="121">
        <v>13223</v>
      </c>
      <c r="K257" s="122">
        <v>441253</v>
      </c>
      <c r="L257" s="121">
        <v>78373</v>
      </c>
      <c r="M257" s="121">
        <v>38519</v>
      </c>
      <c r="N257" s="121">
        <v>3611</v>
      </c>
      <c r="O257" s="122">
        <v>120503</v>
      </c>
    </row>
    <row r="258" spans="1:15" ht="96" customHeight="1" x14ac:dyDescent="0.3">
      <c r="A258" s="133" t="s">
        <v>30</v>
      </c>
      <c r="B258" s="132" t="s">
        <v>130</v>
      </c>
      <c r="C258" s="121">
        <v>76745</v>
      </c>
      <c r="D258" s="121">
        <v>2241</v>
      </c>
      <c r="E258" s="121">
        <v>0</v>
      </c>
      <c r="F258" s="121">
        <v>0</v>
      </c>
      <c r="G258" s="121">
        <v>2241</v>
      </c>
      <c r="H258" s="121">
        <v>69092</v>
      </c>
      <c r="I258" s="121">
        <v>0</v>
      </c>
      <c r="J258" s="121">
        <v>0</v>
      </c>
      <c r="K258" s="122">
        <v>69092</v>
      </c>
      <c r="L258" s="121">
        <v>5412</v>
      </c>
      <c r="M258" s="121">
        <v>0</v>
      </c>
      <c r="N258" s="121">
        <v>0</v>
      </c>
      <c r="O258" s="122">
        <v>5412</v>
      </c>
    </row>
    <row r="259" spans="1:15" ht="99.75" customHeight="1" x14ac:dyDescent="0.3">
      <c r="A259" s="133" t="s">
        <v>31</v>
      </c>
      <c r="B259" s="132" t="s">
        <v>131</v>
      </c>
      <c r="C259" s="121">
        <v>41299</v>
      </c>
      <c r="D259" s="121">
        <v>3016</v>
      </c>
      <c r="E259" s="121">
        <v>0</v>
      </c>
      <c r="F259" s="121">
        <v>0</v>
      </c>
      <c r="G259" s="121">
        <v>3016</v>
      </c>
      <c r="H259" s="121">
        <v>36999</v>
      </c>
      <c r="I259" s="121">
        <v>0</v>
      </c>
      <c r="J259" s="121">
        <v>0</v>
      </c>
      <c r="K259" s="122">
        <v>36999</v>
      </c>
      <c r="L259" s="121">
        <v>1284</v>
      </c>
      <c r="M259" s="121">
        <v>0</v>
      </c>
      <c r="N259" s="121">
        <v>0</v>
      </c>
      <c r="O259" s="122">
        <v>1284</v>
      </c>
    </row>
    <row r="260" spans="1:15" ht="19.5" customHeight="1" x14ac:dyDescent="0.3">
      <c r="A260" s="133" t="s">
        <v>32</v>
      </c>
      <c r="B260" s="132" t="s">
        <v>73</v>
      </c>
      <c r="C260" s="121">
        <v>38930</v>
      </c>
      <c r="D260" s="121">
        <v>5432</v>
      </c>
      <c r="E260" s="121">
        <v>0</v>
      </c>
      <c r="F260" s="121">
        <v>0</v>
      </c>
      <c r="G260" s="121">
        <v>5432</v>
      </c>
      <c r="H260" s="121">
        <v>19439</v>
      </c>
      <c r="I260" s="121">
        <v>0</v>
      </c>
      <c r="J260" s="121">
        <v>0</v>
      </c>
      <c r="K260" s="122">
        <v>19439</v>
      </c>
      <c r="L260" s="121">
        <v>14059</v>
      </c>
      <c r="M260" s="121">
        <v>0</v>
      </c>
      <c r="N260" s="121">
        <v>0</v>
      </c>
      <c r="O260" s="122">
        <v>14059</v>
      </c>
    </row>
    <row r="261" spans="1:15" ht="19.5" customHeight="1" x14ac:dyDescent="0.3">
      <c r="A261" s="133" t="s">
        <v>90</v>
      </c>
      <c r="B261" s="132" t="s">
        <v>132</v>
      </c>
      <c r="C261" s="121">
        <v>29573</v>
      </c>
      <c r="D261" s="121">
        <v>0</v>
      </c>
      <c r="E261" s="121">
        <v>3324</v>
      </c>
      <c r="F261" s="121">
        <v>0</v>
      </c>
      <c r="G261" s="121">
        <v>3324</v>
      </c>
      <c r="H261" s="121">
        <v>0</v>
      </c>
      <c r="I261" s="121">
        <v>17480</v>
      </c>
      <c r="J261" s="121">
        <v>0</v>
      </c>
      <c r="K261" s="122">
        <v>17480</v>
      </c>
      <c r="L261" s="121">
        <v>0</v>
      </c>
      <c r="M261" s="121">
        <v>8769</v>
      </c>
      <c r="N261" s="121">
        <v>0</v>
      </c>
      <c r="O261" s="122">
        <v>8769</v>
      </c>
    </row>
    <row r="262" spans="1:15" ht="19.5" customHeight="1" x14ac:dyDescent="0.25">
      <c r="A262" s="134"/>
      <c r="B262" s="134" t="s">
        <v>0</v>
      </c>
      <c r="C262" s="135">
        <v>13167200</v>
      </c>
      <c r="D262" s="135">
        <v>492350</v>
      </c>
      <c r="E262" s="135">
        <v>627404</v>
      </c>
      <c r="F262" s="135">
        <v>16216</v>
      </c>
      <c r="G262" s="135">
        <v>1135970</v>
      </c>
      <c r="H262" s="135">
        <v>3450460</v>
      </c>
      <c r="I262" s="135">
        <v>6259091</v>
      </c>
      <c r="J262" s="135">
        <v>103730</v>
      </c>
      <c r="K262" s="135">
        <v>9813281</v>
      </c>
      <c r="L262" s="135">
        <v>777222</v>
      </c>
      <c r="M262" s="135">
        <v>1412070</v>
      </c>
      <c r="N262" s="135">
        <v>28657</v>
      </c>
      <c r="O262" s="135">
        <v>2217949</v>
      </c>
    </row>
    <row r="263" spans="1:15" ht="19.5" customHeight="1" x14ac:dyDescent="0.25">
      <c r="A263" s="139"/>
      <c r="B263" s="139"/>
      <c r="C263" s="140"/>
      <c r="D263" s="140"/>
      <c r="E263" s="140"/>
      <c r="F263" s="140"/>
      <c r="G263" s="140"/>
      <c r="H263" s="140"/>
      <c r="I263" s="140"/>
      <c r="J263" s="140"/>
      <c r="K263" s="140"/>
      <c r="L263" s="140"/>
      <c r="M263" s="140"/>
      <c r="N263" s="140"/>
      <c r="O263" s="140"/>
    </row>
    <row r="264" spans="1:15" ht="15.75" x14ac:dyDescent="0.25">
      <c r="A264" s="150" t="s">
        <v>112</v>
      </c>
      <c r="B264" s="150"/>
      <c r="C264" s="150"/>
      <c r="D264" s="150"/>
      <c r="E264" s="150"/>
      <c r="F264" s="150"/>
      <c r="G264" s="150"/>
      <c r="H264" s="150"/>
      <c r="I264" s="150"/>
      <c r="J264" s="150"/>
      <c r="K264" s="150"/>
      <c r="L264" s="150"/>
      <c r="M264" s="150"/>
      <c r="N264" s="150"/>
      <c r="O264" s="150"/>
    </row>
    <row r="265" spans="1:15" ht="15.75" x14ac:dyDescent="0.25">
      <c r="A265" s="136"/>
      <c r="B265" s="136"/>
      <c r="C265" s="136"/>
      <c r="D265" s="136"/>
      <c r="E265" s="136"/>
      <c r="F265" s="136"/>
      <c r="G265" s="136"/>
      <c r="H265" s="136"/>
      <c r="I265" s="136"/>
      <c r="J265" s="136"/>
      <c r="K265" s="136"/>
      <c r="L265" s="136"/>
      <c r="M265" s="136"/>
      <c r="N265" s="136"/>
      <c r="O265" s="136"/>
    </row>
    <row r="266" spans="1:15" s="126" customFormat="1" ht="19.5" customHeight="1" x14ac:dyDescent="0.25">
      <c r="A266" s="144" t="s">
        <v>17</v>
      </c>
      <c r="B266" s="144" t="s">
        <v>33</v>
      </c>
      <c r="C266" s="144" t="s">
        <v>123</v>
      </c>
      <c r="D266" s="144" t="s">
        <v>69</v>
      </c>
      <c r="E266" s="144"/>
      <c r="F266" s="144"/>
      <c r="G266" s="144"/>
      <c r="H266" s="144"/>
      <c r="I266" s="144"/>
      <c r="J266" s="144"/>
      <c r="K266" s="144"/>
      <c r="L266" s="144"/>
      <c r="M266" s="144"/>
      <c r="N266" s="144"/>
      <c r="O266" s="144"/>
    </row>
    <row r="267" spans="1:15" s="126" customFormat="1" ht="35.25" customHeight="1" x14ac:dyDescent="0.25">
      <c r="A267" s="144"/>
      <c r="B267" s="144"/>
      <c r="C267" s="144"/>
      <c r="D267" s="146" t="s">
        <v>36</v>
      </c>
      <c r="E267" s="146"/>
      <c r="F267" s="146"/>
      <c r="G267" s="146"/>
      <c r="H267" s="147" t="s">
        <v>37</v>
      </c>
      <c r="I267" s="148"/>
      <c r="J267" s="148"/>
      <c r="K267" s="149"/>
      <c r="L267" s="147" t="s">
        <v>38</v>
      </c>
      <c r="M267" s="148"/>
      <c r="N267" s="148"/>
      <c r="O267" s="149"/>
    </row>
    <row r="268" spans="1:15" s="126" customFormat="1" ht="56.25" customHeight="1" x14ac:dyDescent="0.25">
      <c r="A268" s="144"/>
      <c r="B268" s="144"/>
      <c r="C268" s="144"/>
      <c r="D268" s="127" t="s">
        <v>66</v>
      </c>
      <c r="E268" s="127" t="s">
        <v>67</v>
      </c>
      <c r="F268" s="127" t="s">
        <v>68</v>
      </c>
      <c r="G268" s="127" t="s">
        <v>70</v>
      </c>
      <c r="H268" s="128" t="s">
        <v>66</v>
      </c>
      <c r="I268" s="128" t="s">
        <v>67</v>
      </c>
      <c r="J268" s="128" t="s">
        <v>68</v>
      </c>
      <c r="K268" s="128" t="s">
        <v>71</v>
      </c>
      <c r="L268" s="128" t="s">
        <v>66</v>
      </c>
      <c r="M268" s="128" t="s">
        <v>67</v>
      </c>
      <c r="N268" s="128" t="s">
        <v>68</v>
      </c>
      <c r="O268" s="128" t="s">
        <v>72</v>
      </c>
    </row>
    <row r="269" spans="1:15" s="131" customFormat="1" ht="19.5" customHeight="1" x14ac:dyDescent="0.25">
      <c r="A269" s="129">
        <v>1</v>
      </c>
      <c r="B269" s="129">
        <v>2</v>
      </c>
      <c r="C269" s="129">
        <v>3</v>
      </c>
      <c r="D269" s="129">
        <v>4</v>
      </c>
      <c r="E269" s="129">
        <v>5</v>
      </c>
      <c r="F269" s="129">
        <v>6</v>
      </c>
      <c r="G269" s="129">
        <v>7</v>
      </c>
      <c r="H269" s="130">
        <v>8</v>
      </c>
      <c r="I269" s="130">
        <v>9</v>
      </c>
      <c r="J269" s="130">
        <v>10</v>
      </c>
      <c r="K269" s="130">
        <v>11</v>
      </c>
      <c r="L269" s="130">
        <v>12</v>
      </c>
      <c r="M269" s="130">
        <v>13</v>
      </c>
      <c r="N269" s="130">
        <v>14</v>
      </c>
      <c r="O269" s="130">
        <v>15</v>
      </c>
    </row>
    <row r="270" spans="1:15" s="131" customFormat="1" ht="27" customHeight="1" x14ac:dyDescent="0.3">
      <c r="A270" s="129" t="s">
        <v>16</v>
      </c>
      <c r="B270" s="132" t="s">
        <v>15</v>
      </c>
      <c r="C270" s="121">
        <v>7212026</v>
      </c>
      <c r="D270" s="121">
        <v>250346</v>
      </c>
      <c r="E270" s="121">
        <v>582035</v>
      </c>
      <c r="F270" s="121">
        <v>14166</v>
      </c>
      <c r="G270" s="121">
        <v>846547</v>
      </c>
      <c r="H270" s="121">
        <v>1361014</v>
      </c>
      <c r="I270" s="121">
        <v>3164253</v>
      </c>
      <c r="J270" s="121">
        <v>77016</v>
      </c>
      <c r="K270" s="122">
        <v>4602283</v>
      </c>
      <c r="L270" s="121">
        <v>521422</v>
      </c>
      <c r="M270" s="121">
        <v>1212268</v>
      </c>
      <c r="N270" s="121">
        <v>29506</v>
      </c>
      <c r="O270" s="122">
        <v>1763196</v>
      </c>
    </row>
    <row r="271" spans="1:15" ht="29.25" customHeight="1" x14ac:dyDescent="0.3">
      <c r="A271" s="133" t="s">
        <v>24</v>
      </c>
      <c r="B271" s="132" t="s">
        <v>14</v>
      </c>
      <c r="C271" s="121">
        <v>328439</v>
      </c>
      <c r="D271" s="121">
        <v>21609</v>
      </c>
      <c r="E271" s="121">
        <v>16763</v>
      </c>
      <c r="F271" s="121">
        <v>0</v>
      </c>
      <c r="G271" s="121">
        <v>38372</v>
      </c>
      <c r="H271" s="121">
        <v>112772</v>
      </c>
      <c r="I271" s="121">
        <v>87480</v>
      </c>
      <c r="J271" s="121">
        <v>0</v>
      </c>
      <c r="K271" s="122">
        <v>200252</v>
      </c>
      <c r="L271" s="121">
        <v>50579</v>
      </c>
      <c r="M271" s="121">
        <v>39236</v>
      </c>
      <c r="N271" s="121">
        <v>0</v>
      </c>
      <c r="O271" s="122">
        <v>89815</v>
      </c>
    </row>
    <row r="272" spans="1:15" ht="27.75" customHeight="1" x14ac:dyDescent="0.3">
      <c r="A272" s="133" t="s">
        <v>24</v>
      </c>
      <c r="B272" s="132" t="s">
        <v>13</v>
      </c>
      <c r="C272" s="121">
        <v>3322307</v>
      </c>
      <c r="D272" s="121">
        <v>0</v>
      </c>
      <c r="E272" s="121">
        <v>300835</v>
      </c>
      <c r="F272" s="121">
        <v>0</v>
      </c>
      <c r="G272" s="121">
        <v>300835</v>
      </c>
      <c r="H272" s="121">
        <v>0</v>
      </c>
      <c r="I272" s="121">
        <v>2283089</v>
      </c>
      <c r="J272" s="121">
        <v>0</v>
      </c>
      <c r="K272" s="122">
        <v>2283089</v>
      </c>
      <c r="L272" s="121">
        <v>0</v>
      </c>
      <c r="M272" s="121">
        <v>738383</v>
      </c>
      <c r="N272" s="121">
        <v>0</v>
      </c>
      <c r="O272" s="122">
        <v>738383</v>
      </c>
    </row>
    <row r="273" spans="1:15" ht="28.5" customHeight="1" x14ac:dyDescent="0.3">
      <c r="A273" s="133" t="s">
        <v>22</v>
      </c>
      <c r="B273" s="132" t="s">
        <v>12</v>
      </c>
      <c r="C273" s="121">
        <v>267122</v>
      </c>
      <c r="D273" s="121">
        <v>27345</v>
      </c>
      <c r="E273" s="121">
        <v>0</v>
      </c>
      <c r="F273" s="121">
        <v>0</v>
      </c>
      <c r="G273" s="121">
        <v>27345</v>
      </c>
      <c r="H273" s="121">
        <v>178510</v>
      </c>
      <c r="I273" s="121">
        <v>0</v>
      </c>
      <c r="J273" s="121">
        <v>0</v>
      </c>
      <c r="K273" s="122">
        <v>178510</v>
      </c>
      <c r="L273" s="121">
        <v>61267</v>
      </c>
      <c r="M273" s="121">
        <v>0</v>
      </c>
      <c r="N273" s="121">
        <v>0</v>
      </c>
      <c r="O273" s="122">
        <v>61267</v>
      </c>
    </row>
    <row r="274" spans="1:15" ht="41.25" customHeight="1" x14ac:dyDescent="0.3">
      <c r="A274" s="133" t="s">
        <v>23</v>
      </c>
      <c r="B274" s="132" t="s">
        <v>11</v>
      </c>
      <c r="C274" s="121">
        <v>289854</v>
      </c>
      <c r="D274" s="121">
        <v>10314</v>
      </c>
      <c r="E274" s="121">
        <v>13548</v>
      </c>
      <c r="F274" s="121">
        <v>3426</v>
      </c>
      <c r="G274" s="121">
        <v>27288</v>
      </c>
      <c r="H274" s="121">
        <v>73179</v>
      </c>
      <c r="I274" s="121">
        <v>96123</v>
      </c>
      <c r="J274" s="121">
        <v>24305</v>
      </c>
      <c r="K274" s="122">
        <v>193607</v>
      </c>
      <c r="L274" s="121">
        <v>26065</v>
      </c>
      <c r="M274" s="121">
        <v>34237</v>
      </c>
      <c r="N274" s="121">
        <v>8657</v>
      </c>
      <c r="O274" s="122">
        <v>68959</v>
      </c>
    </row>
    <row r="275" spans="1:15" ht="19.5" customHeight="1" x14ac:dyDescent="0.3">
      <c r="A275" s="133" t="s">
        <v>20</v>
      </c>
      <c r="B275" s="132" t="s">
        <v>34</v>
      </c>
      <c r="C275" s="121">
        <v>170223</v>
      </c>
      <c r="D275" s="121">
        <v>19394</v>
      </c>
      <c r="E275" s="121">
        <v>0</v>
      </c>
      <c r="F275" s="121">
        <v>0</v>
      </c>
      <c r="G275" s="121">
        <v>19394</v>
      </c>
      <c r="H275" s="121">
        <v>101213</v>
      </c>
      <c r="I275" s="121">
        <v>0</v>
      </c>
      <c r="J275" s="121">
        <v>0</v>
      </c>
      <c r="K275" s="122">
        <v>101213</v>
      </c>
      <c r="L275" s="121">
        <v>49616</v>
      </c>
      <c r="M275" s="121">
        <v>0</v>
      </c>
      <c r="N275" s="121">
        <v>0</v>
      </c>
      <c r="O275" s="122">
        <v>49616</v>
      </c>
    </row>
    <row r="276" spans="1:15" ht="34.5" customHeight="1" x14ac:dyDescent="0.3">
      <c r="A276" s="133" t="s">
        <v>22</v>
      </c>
      <c r="B276" s="132" t="s">
        <v>10</v>
      </c>
      <c r="C276" s="121">
        <v>587481</v>
      </c>
      <c r="D276" s="121">
        <v>18306</v>
      </c>
      <c r="E276" s="121">
        <v>24803</v>
      </c>
      <c r="F276" s="121">
        <v>1328</v>
      </c>
      <c r="G276" s="121">
        <v>44437</v>
      </c>
      <c r="H276" s="121">
        <v>166189</v>
      </c>
      <c r="I276" s="121">
        <v>225177</v>
      </c>
      <c r="J276" s="121">
        <v>12058</v>
      </c>
      <c r="K276" s="122">
        <v>403424</v>
      </c>
      <c r="L276" s="121">
        <v>57516</v>
      </c>
      <c r="M276" s="121">
        <v>77931</v>
      </c>
      <c r="N276" s="121">
        <v>4173</v>
      </c>
      <c r="O276" s="122">
        <v>139620</v>
      </c>
    </row>
    <row r="277" spans="1:15" ht="19.5" customHeight="1" x14ac:dyDescent="0.3">
      <c r="A277" s="133" t="s">
        <v>21</v>
      </c>
      <c r="B277" s="132" t="s">
        <v>9</v>
      </c>
      <c r="C277" s="121">
        <v>1104931</v>
      </c>
      <c r="D277" s="121">
        <v>263870</v>
      </c>
      <c r="E277" s="121">
        <v>81010</v>
      </c>
      <c r="F277" s="121">
        <v>3426</v>
      </c>
      <c r="G277" s="121">
        <v>348306</v>
      </c>
      <c r="H277" s="121">
        <v>565738</v>
      </c>
      <c r="I277" s="121">
        <v>173685</v>
      </c>
      <c r="J277" s="121">
        <v>7344</v>
      </c>
      <c r="K277" s="122">
        <v>746767</v>
      </c>
      <c r="L277" s="121">
        <v>7543</v>
      </c>
      <c r="M277" s="121">
        <v>2315</v>
      </c>
      <c r="N277" s="121">
        <v>0</v>
      </c>
      <c r="O277" s="122">
        <v>9858</v>
      </c>
    </row>
    <row r="278" spans="1:15" s="125" customFormat="1" ht="19.5" customHeight="1" x14ac:dyDescent="0.3">
      <c r="A278" s="141" t="s">
        <v>25</v>
      </c>
      <c r="B278" s="142" t="s">
        <v>8</v>
      </c>
      <c r="C278" s="121">
        <v>2328464</v>
      </c>
      <c r="D278" s="121">
        <v>12058</v>
      </c>
      <c r="E278" s="121">
        <v>55327</v>
      </c>
      <c r="F278" s="121">
        <v>0</v>
      </c>
      <c r="G278" s="121">
        <v>67385</v>
      </c>
      <c r="H278" s="121">
        <v>233578</v>
      </c>
      <c r="I278" s="121">
        <v>1071736</v>
      </c>
      <c r="J278" s="121">
        <v>0</v>
      </c>
      <c r="K278" s="122">
        <v>1305314</v>
      </c>
      <c r="L278" s="121">
        <v>171028</v>
      </c>
      <c r="M278" s="121">
        <v>784737</v>
      </c>
      <c r="N278" s="121">
        <v>0</v>
      </c>
      <c r="O278" s="122">
        <v>955765</v>
      </c>
    </row>
    <row r="279" spans="1:15" ht="19.5" customHeight="1" x14ac:dyDescent="0.3">
      <c r="A279" s="133" t="s">
        <v>26</v>
      </c>
      <c r="B279" s="132" t="s">
        <v>7</v>
      </c>
      <c r="C279" s="121">
        <v>2877615</v>
      </c>
      <c r="D279" s="121">
        <v>3982</v>
      </c>
      <c r="E279" s="121">
        <v>27038</v>
      </c>
      <c r="F279" s="121">
        <v>0</v>
      </c>
      <c r="G279" s="121">
        <v>31020</v>
      </c>
      <c r="H279" s="121">
        <v>350410</v>
      </c>
      <c r="I279" s="121">
        <v>2379066</v>
      </c>
      <c r="J279" s="121">
        <v>0</v>
      </c>
      <c r="K279" s="122">
        <v>2729476</v>
      </c>
      <c r="L279" s="121">
        <v>15036</v>
      </c>
      <c r="M279" s="121">
        <v>102083</v>
      </c>
      <c r="N279" s="121">
        <v>0</v>
      </c>
      <c r="O279" s="122">
        <v>117119</v>
      </c>
    </row>
    <row r="280" spans="1:15" ht="19.5" customHeight="1" x14ac:dyDescent="0.3">
      <c r="A280" s="133" t="s">
        <v>20</v>
      </c>
      <c r="B280" s="132" t="s">
        <v>6</v>
      </c>
      <c r="C280" s="121">
        <v>864650</v>
      </c>
      <c r="D280" s="121">
        <v>1432</v>
      </c>
      <c r="E280" s="121">
        <v>0</v>
      </c>
      <c r="F280" s="121">
        <v>0</v>
      </c>
      <c r="G280" s="121">
        <v>1432</v>
      </c>
      <c r="H280" s="121">
        <v>568190</v>
      </c>
      <c r="I280" s="121">
        <v>288997</v>
      </c>
      <c r="J280" s="121">
        <v>6031</v>
      </c>
      <c r="K280" s="122">
        <v>863218</v>
      </c>
      <c r="L280" s="121">
        <v>0</v>
      </c>
      <c r="M280" s="121">
        <v>0</v>
      </c>
      <c r="N280" s="121">
        <v>0</v>
      </c>
      <c r="O280" s="122">
        <v>0</v>
      </c>
    </row>
    <row r="281" spans="1:15" ht="19.5" customHeight="1" x14ac:dyDescent="0.3">
      <c r="A281" s="133" t="s">
        <v>19</v>
      </c>
      <c r="B281" s="132" t="s">
        <v>5</v>
      </c>
      <c r="C281" s="121">
        <v>1652192</v>
      </c>
      <c r="D281" s="121">
        <v>80482</v>
      </c>
      <c r="E281" s="121">
        <v>157995</v>
      </c>
      <c r="F281" s="121">
        <v>4009</v>
      </c>
      <c r="G281" s="121">
        <v>242486</v>
      </c>
      <c r="H281" s="121">
        <v>462022</v>
      </c>
      <c r="I281" s="121">
        <v>907005</v>
      </c>
      <c r="J281" s="121">
        <v>23013</v>
      </c>
      <c r="K281" s="122">
        <v>1392040</v>
      </c>
      <c r="L281" s="121">
        <v>5962</v>
      </c>
      <c r="M281" s="121">
        <v>11704</v>
      </c>
      <c r="N281" s="121">
        <v>0</v>
      </c>
      <c r="O281" s="122">
        <v>17666</v>
      </c>
    </row>
    <row r="282" spans="1:15" ht="19.5" customHeight="1" x14ac:dyDescent="0.3">
      <c r="A282" s="133" t="s">
        <v>18</v>
      </c>
      <c r="B282" s="132" t="s">
        <v>4</v>
      </c>
      <c r="C282" s="121">
        <v>747250</v>
      </c>
      <c r="D282" s="121">
        <v>13192</v>
      </c>
      <c r="E282" s="121">
        <v>16444</v>
      </c>
      <c r="F282" s="121">
        <v>0</v>
      </c>
      <c r="G282" s="121">
        <v>29636</v>
      </c>
      <c r="H282" s="121">
        <v>317520</v>
      </c>
      <c r="I282" s="121">
        <v>395775</v>
      </c>
      <c r="J282" s="121">
        <v>0</v>
      </c>
      <c r="K282" s="122">
        <v>713295</v>
      </c>
      <c r="L282" s="121">
        <v>1923</v>
      </c>
      <c r="M282" s="121">
        <v>2396</v>
      </c>
      <c r="N282" s="121">
        <v>0</v>
      </c>
      <c r="O282" s="122">
        <v>4319</v>
      </c>
    </row>
    <row r="283" spans="1:15" ht="19.5" customHeight="1" x14ac:dyDescent="0.3">
      <c r="A283" s="133" t="s">
        <v>25</v>
      </c>
      <c r="B283" s="132" t="s">
        <v>3</v>
      </c>
      <c r="C283" s="121">
        <v>451861</v>
      </c>
      <c r="D283" s="121">
        <v>16263</v>
      </c>
      <c r="E283" s="121">
        <v>7993</v>
      </c>
      <c r="F283" s="121">
        <v>749</v>
      </c>
      <c r="G283" s="121">
        <v>25005</v>
      </c>
      <c r="H283" s="121">
        <v>218068</v>
      </c>
      <c r="I283" s="121">
        <v>107175</v>
      </c>
      <c r="J283" s="121">
        <v>10047</v>
      </c>
      <c r="K283" s="122">
        <v>335290</v>
      </c>
      <c r="L283" s="121">
        <v>59553</v>
      </c>
      <c r="M283" s="121">
        <v>29269</v>
      </c>
      <c r="N283" s="121">
        <v>2744</v>
      </c>
      <c r="O283" s="122">
        <v>91566</v>
      </c>
    </row>
    <row r="284" spans="1:15" ht="99" customHeight="1" x14ac:dyDescent="0.3">
      <c r="A284" s="133" t="s">
        <v>30</v>
      </c>
      <c r="B284" s="132" t="s">
        <v>130</v>
      </c>
      <c r="C284" s="121">
        <v>113018</v>
      </c>
      <c r="D284" s="121">
        <v>3300</v>
      </c>
      <c r="E284" s="121">
        <v>0</v>
      </c>
      <c r="F284" s="121">
        <v>0</v>
      </c>
      <c r="G284" s="121">
        <v>3300</v>
      </c>
      <c r="H284" s="121">
        <v>101748</v>
      </c>
      <c r="I284" s="121">
        <v>0</v>
      </c>
      <c r="J284" s="121">
        <v>0</v>
      </c>
      <c r="K284" s="122">
        <v>101748</v>
      </c>
      <c r="L284" s="121">
        <v>7970</v>
      </c>
      <c r="M284" s="121">
        <v>0</v>
      </c>
      <c r="N284" s="121">
        <v>0</v>
      </c>
      <c r="O284" s="122">
        <v>7970</v>
      </c>
    </row>
    <row r="285" spans="1:15" ht="101.25" customHeight="1" x14ac:dyDescent="0.3">
      <c r="A285" s="133" t="s">
        <v>31</v>
      </c>
      <c r="B285" s="132" t="s">
        <v>131</v>
      </c>
      <c r="C285" s="121">
        <v>74163</v>
      </c>
      <c r="D285" s="121">
        <v>5417</v>
      </c>
      <c r="E285" s="121">
        <v>0</v>
      </c>
      <c r="F285" s="121">
        <v>0</v>
      </c>
      <c r="G285" s="121">
        <v>5417</v>
      </c>
      <c r="H285" s="121">
        <v>66441</v>
      </c>
      <c r="I285" s="121">
        <v>0</v>
      </c>
      <c r="J285" s="121">
        <v>0</v>
      </c>
      <c r="K285" s="122">
        <v>66441</v>
      </c>
      <c r="L285" s="121">
        <v>2305</v>
      </c>
      <c r="M285" s="121">
        <v>0</v>
      </c>
      <c r="N285" s="121">
        <v>0</v>
      </c>
      <c r="O285" s="122">
        <v>2305</v>
      </c>
    </row>
    <row r="286" spans="1:15" ht="19.5" customHeight="1" x14ac:dyDescent="0.3">
      <c r="A286" s="133" t="s">
        <v>32</v>
      </c>
      <c r="B286" s="132" t="s">
        <v>73</v>
      </c>
      <c r="C286" s="121">
        <v>51751</v>
      </c>
      <c r="D286" s="121">
        <v>7221</v>
      </c>
      <c r="E286" s="121">
        <v>0</v>
      </c>
      <c r="F286" s="121">
        <v>0</v>
      </c>
      <c r="G286" s="121">
        <v>7221</v>
      </c>
      <c r="H286" s="121">
        <v>25841</v>
      </c>
      <c r="I286" s="121">
        <v>0</v>
      </c>
      <c r="J286" s="121">
        <v>0</v>
      </c>
      <c r="K286" s="122">
        <v>25841</v>
      </c>
      <c r="L286" s="121">
        <v>18689</v>
      </c>
      <c r="M286" s="121">
        <v>0</v>
      </c>
      <c r="N286" s="121">
        <v>0</v>
      </c>
      <c r="O286" s="122">
        <v>18689</v>
      </c>
    </row>
    <row r="287" spans="1:15" ht="19.5" customHeight="1" x14ac:dyDescent="0.3">
      <c r="A287" s="133" t="s">
        <v>90</v>
      </c>
      <c r="B287" s="132" t="s">
        <v>132</v>
      </c>
      <c r="C287" s="121">
        <v>29573</v>
      </c>
      <c r="D287" s="121">
        <v>0</v>
      </c>
      <c r="E287" s="121">
        <v>3324</v>
      </c>
      <c r="F287" s="121">
        <v>0</v>
      </c>
      <c r="G287" s="121">
        <v>3324</v>
      </c>
      <c r="H287" s="121">
        <v>0</v>
      </c>
      <c r="I287" s="121">
        <v>17480</v>
      </c>
      <c r="J287" s="121">
        <v>0</v>
      </c>
      <c r="K287" s="122">
        <v>17480</v>
      </c>
      <c r="L287" s="121">
        <v>0</v>
      </c>
      <c r="M287" s="121">
        <v>8769</v>
      </c>
      <c r="N287" s="121">
        <v>0</v>
      </c>
      <c r="O287" s="122">
        <v>8769</v>
      </c>
    </row>
    <row r="288" spans="1:15" ht="19.5" customHeight="1" x14ac:dyDescent="0.25">
      <c r="A288" s="134"/>
      <c r="B288" s="134" t="s">
        <v>0</v>
      </c>
      <c r="C288" s="135">
        <v>22472920</v>
      </c>
      <c r="D288" s="135">
        <v>754531</v>
      </c>
      <c r="E288" s="135">
        <v>1287115</v>
      </c>
      <c r="F288" s="135">
        <v>27104</v>
      </c>
      <c r="G288" s="135">
        <v>2068750</v>
      </c>
      <c r="H288" s="135">
        <v>4902433</v>
      </c>
      <c r="I288" s="135">
        <v>11197041</v>
      </c>
      <c r="J288" s="135">
        <v>159814</v>
      </c>
      <c r="K288" s="135">
        <v>16259288</v>
      </c>
      <c r="L288" s="135">
        <v>1056474</v>
      </c>
      <c r="M288" s="135">
        <v>3043328</v>
      </c>
      <c r="N288" s="135">
        <v>45080</v>
      </c>
      <c r="O288" s="135">
        <v>4144882</v>
      </c>
    </row>
    <row r="290" spans="1:15" ht="15.75" x14ac:dyDescent="0.25">
      <c r="A290" s="150" t="s">
        <v>112</v>
      </c>
      <c r="B290" s="150"/>
      <c r="C290" s="150"/>
      <c r="D290" s="150"/>
      <c r="E290" s="150"/>
      <c r="F290" s="150"/>
      <c r="G290" s="150"/>
      <c r="H290" s="150"/>
      <c r="I290" s="150"/>
      <c r="J290" s="150"/>
      <c r="K290" s="150"/>
      <c r="L290" s="150"/>
      <c r="M290" s="150"/>
      <c r="N290" s="150"/>
      <c r="O290" s="150"/>
    </row>
    <row r="291" spans="1:15" ht="15.75" x14ac:dyDescent="0.25">
      <c r="A291" s="136"/>
      <c r="B291" s="136"/>
      <c r="C291" s="136"/>
      <c r="D291" s="136"/>
      <c r="E291" s="136"/>
      <c r="F291" s="136"/>
      <c r="G291" s="136"/>
      <c r="H291" s="136"/>
      <c r="I291" s="136"/>
      <c r="J291" s="136"/>
      <c r="K291" s="136"/>
      <c r="L291" s="136"/>
      <c r="M291" s="136"/>
      <c r="N291" s="136"/>
      <c r="O291" s="136"/>
    </row>
    <row r="292" spans="1:15" s="126" customFormat="1" ht="19.5" customHeight="1" x14ac:dyDescent="0.25">
      <c r="A292" s="144" t="s">
        <v>17</v>
      </c>
      <c r="B292" s="144" t="s">
        <v>33</v>
      </c>
      <c r="C292" s="151" t="s">
        <v>124</v>
      </c>
      <c r="D292" s="144" t="s">
        <v>69</v>
      </c>
      <c r="E292" s="144"/>
      <c r="F292" s="144"/>
      <c r="G292" s="144"/>
      <c r="H292" s="144"/>
      <c r="I292" s="144"/>
      <c r="J292" s="144"/>
      <c r="K292" s="144"/>
      <c r="L292" s="144"/>
      <c r="M292" s="144"/>
      <c r="N292" s="144"/>
      <c r="O292" s="144"/>
    </row>
    <row r="293" spans="1:15" s="126" customFormat="1" ht="39" customHeight="1" x14ac:dyDescent="0.25">
      <c r="A293" s="144"/>
      <c r="B293" s="144"/>
      <c r="C293" s="151"/>
      <c r="D293" s="146" t="s">
        <v>36</v>
      </c>
      <c r="E293" s="146"/>
      <c r="F293" s="146"/>
      <c r="G293" s="146"/>
      <c r="H293" s="147" t="s">
        <v>37</v>
      </c>
      <c r="I293" s="148"/>
      <c r="J293" s="148"/>
      <c r="K293" s="149"/>
      <c r="L293" s="147" t="s">
        <v>38</v>
      </c>
      <c r="M293" s="148"/>
      <c r="N293" s="148"/>
      <c r="O293" s="149"/>
    </row>
    <row r="294" spans="1:15" s="126" customFormat="1" ht="66.75" customHeight="1" x14ac:dyDescent="0.25">
      <c r="A294" s="144"/>
      <c r="B294" s="144"/>
      <c r="C294" s="151"/>
      <c r="D294" s="127" t="s">
        <v>66</v>
      </c>
      <c r="E294" s="127" t="s">
        <v>67</v>
      </c>
      <c r="F294" s="127" t="s">
        <v>68</v>
      </c>
      <c r="G294" s="127" t="s">
        <v>70</v>
      </c>
      <c r="H294" s="128" t="s">
        <v>66</v>
      </c>
      <c r="I294" s="128" t="s">
        <v>67</v>
      </c>
      <c r="J294" s="128" t="s">
        <v>68</v>
      </c>
      <c r="K294" s="128" t="s">
        <v>71</v>
      </c>
      <c r="L294" s="128" t="s">
        <v>66</v>
      </c>
      <c r="M294" s="128" t="s">
        <v>67</v>
      </c>
      <c r="N294" s="128" t="s">
        <v>68</v>
      </c>
      <c r="O294" s="128" t="s">
        <v>72</v>
      </c>
    </row>
    <row r="295" spans="1:15" s="131" customFormat="1" ht="19.5" customHeight="1" x14ac:dyDescent="0.25">
      <c r="A295" s="129">
        <v>1</v>
      </c>
      <c r="B295" s="129">
        <v>2</v>
      </c>
      <c r="C295" s="129">
        <v>3</v>
      </c>
      <c r="D295" s="129">
        <v>4</v>
      </c>
      <c r="E295" s="129">
        <v>5</v>
      </c>
      <c r="F295" s="129">
        <v>6</v>
      </c>
      <c r="G295" s="129">
        <v>7</v>
      </c>
      <c r="H295" s="130">
        <v>8</v>
      </c>
      <c r="I295" s="130">
        <v>9</v>
      </c>
      <c r="J295" s="130">
        <v>10</v>
      </c>
      <c r="K295" s="130">
        <v>11</v>
      </c>
      <c r="L295" s="130">
        <v>12</v>
      </c>
      <c r="M295" s="130">
        <v>13</v>
      </c>
      <c r="N295" s="130">
        <v>14</v>
      </c>
      <c r="O295" s="130">
        <v>15</v>
      </c>
    </row>
    <row r="296" spans="1:15" s="131" customFormat="1" ht="30" customHeight="1" x14ac:dyDescent="0.3">
      <c r="A296" s="129" t="s">
        <v>16</v>
      </c>
      <c r="B296" s="132" t="s">
        <v>15</v>
      </c>
      <c r="C296" s="121">
        <v>13841116</v>
      </c>
      <c r="D296" s="121">
        <v>477309</v>
      </c>
      <c r="E296" s="121">
        <v>1121030</v>
      </c>
      <c r="F296" s="121">
        <v>26331</v>
      </c>
      <c r="G296" s="121">
        <v>1624670</v>
      </c>
      <c r="H296" s="122">
        <v>2594899</v>
      </c>
      <c r="I296" s="122">
        <v>6094516</v>
      </c>
      <c r="J296" s="122">
        <v>143155</v>
      </c>
      <c r="K296" s="122">
        <v>8832570</v>
      </c>
      <c r="L296" s="122">
        <v>994140</v>
      </c>
      <c r="M296" s="122">
        <v>2334891</v>
      </c>
      <c r="N296" s="122">
        <v>54845</v>
      </c>
      <c r="O296" s="122">
        <v>3383876</v>
      </c>
    </row>
    <row r="297" spans="1:15" ht="35.25" customHeight="1" x14ac:dyDescent="0.3">
      <c r="A297" s="133" t="s">
        <v>24</v>
      </c>
      <c r="B297" s="132" t="s">
        <v>14</v>
      </c>
      <c r="C297" s="121">
        <v>1024956</v>
      </c>
      <c r="D297" s="121">
        <v>67393</v>
      </c>
      <c r="E297" s="121">
        <v>52354</v>
      </c>
      <c r="F297" s="121">
        <v>0</v>
      </c>
      <c r="G297" s="121">
        <v>119747</v>
      </c>
      <c r="H297" s="122">
        <v>351710</v>
      </c>
      <c r="I297" s="122">
        <v>273215</v>
      </c>
      <c r="J297" s="122">
        <v>0</v>
      </c>
      <c r="K297" s="122">
        <v>624925</v>
      </c>
      <c r="L297" s="122">
        <v>157744</v>
      </c>
      <c r="M297" s="122">
        <v>122540</v>
      </c>
      <c r="N297" s="122">
        <v>0</v>
      </c>
      <c r="O297" s="122">
        <v>280284</v>
      </c>
    </row>
    <row r="298" spans="1:15" ht="32.25" customHeight="1" x14ac:dyDescent="0.3">
      <c r="A298" s="133" t="s">
        <v>24</v>
      </c>
      <c r="B298" s="132" t="s">
        <v>13</v>
      </c>
      <c r="C298" s="121">
        <v>5196955</v>
      </c>
      <c r="D298" s="121">
        <v>0</v>
      </c>
      <c r="E298" s="121">
        <v>470584</v>
      </c>
      <c r="F298" s="121">
        <v>0</v>
      </c>
      <c r="G298" s="121">
        <v>470584</v>
      </c>
      <c r="H298" s="122">
        <v>0</v>
      </c>
      <c r="I298" s="122">
        <v>3571347</v>
      </c>
      <c r="J298" s="122">
        <v>0</v>
      </c>
      <c r="K298" s="122">
        <v>3571347</v>
      </c>
      <c r="L298" s="122">
        <v>0</v>
      </c>
      <c r="M298" s="122">
        <v>1155024</v>
      </c>
      <c r="N298" s="122">
        <v>0</v>
      </c>
      <c r="O298" s="122">
        <v>1155024</v>
      </c>
    </row>
    <row r="299" spans="1:15" ht="32.25" customHeight="1" x14ac:dyDescent="0.3">
      <c r="A299" s="133" t="s">
        <v>22</v>
      </c>
      <c r="B299" s="132" t="s">
        <v>12</v>
      </c>
      <c r="C299" s="121">
        <v>512492</v>
      </c>
      <c r="D299" s="121">
        <v>52464</v>
      </c>
      <c r="E299" s="121">
        <v>0</v>
      </c>
      <c r="F299" s="121">
        <v>0</v>
      </c>
      <c r="G299" s="121">
        <v>52464</v>
      </c>
      <c r="H299" s="122">
        <v>342483</v>
      </c>
      <c r="I299" s="122">
        <v>0</v>
      </c>
      <c r="J299" s="122">
        <v>0</v>
      </c>
      <c r="K299" s="122">
        <v>342483</v>
      </c>
      <c r="L299" s="122">
        <v>117545</v>
      </c>
      <c r="M299" s="122">
        <v>0</v>
      </c>
      <c r="N299" s="122">
        <v>0</v>
      </c>
      <c r="O299" s="122">
        <v>117545</v>
      </c>
    </row>
    <row r="300" spans="1:15" ht="42" customHeight="1" x14ac:dyDescent="0.3">
      <c r="A300" s="133" t="s">
        <v>23</v>
      </c>
      <c r="B300" s="132" t="s">
        <v>11</v>
      </c>
      <c r="C300" s="121">
        <v>802783</v>
      </c>
      <c r="D300" s="121">
        <v>28858</v>
      </c>
      <c r="E300" s="121">
        <v>37288</v>
      </c>
      <c r="F300" s="121">
        <v>9429</v>
      </c>
      <c r="G300" s="121">
        <v>75575</v>
      </c>
      <c r="H300" s="122">
        <v>204753</v>
      </c>
      <c r="I300" s="122">
        <v>264567</v>
      </c>
      <c r="J300" s="122">
        <v>66898</v>
      </c>
      <c r="K300" s="122">
        <v>536218</v>
      </c>
      <c r="L300" s="122">
        <v>72929</v>
      </c>
      <c r="M300" s="122">
        <v>94234</v>
      </c>
      <c r="N300" s="122">
        <v>23827</v>
      </c>
      <c r="O300" s="122">
        <v>190990</v>
      </c>
    </row>
    <row r="301" spans="1:15" ht="19.5" customHeight="1" x14ac:dyDescent="0.3">
      <c r="A301" s="133" t="s">
        <v>20</v>
      </c>
      <c r="B301" s="132" t="s">
        <v>34</v>
      </c>
      <c r="C301" s="121">
        <v>547180</v>
      </c>
      <c r="D301" s="121">
        <v>62340</v>
      </c>
      <c r="E301" s="121">
        <v>0</v>
      </c>
      <c r="F301" s="121">
        <v>0</v>
      </c>
      <c r="G301" s="121">
        <v>62340</v>
      </c>
      <c r="H301" s="122">
        <v>325348</v>
      </c>
      <c r="I301" s="122">
        <v>0</v>
      </c>
      <c r="J301" s="122">
        <v>0</v>
      </c>
      <c r="K301" s="122">
        <v>325348</v>
      </c>
      <c r="L301" s="122">
        <v>159492</v>
      </c>
      <c r="M301" s="122">
        <v>0</v>
      </c>
      <c r="N301" s="122">
        <v>0</v>
      </c>
      <c r="O301" s="122">
        <v>159492</v>
      </c>
    </row>
    <row r="302" spans="1:15" ht="30" customHeight="1" x14ac:dyDescent="0.3">
      <c r="A302" s="133" t="s">
        <v>22</v>
      </c>
      <c r="B302" s="132" t="s">
        <v>10</v>
      </c>
      <c r="C302" s="121">
        <v>2487413</v>
      </c>
      <c r="D302" s="121">
        <v>79133</v>
      </c>
      <c r="E302" s="121">
        <v>103759</v>
      </c>
      <c r="F302" s="121">
        <v>5256</v>
      </c>
      <c r="G302" s="121">
        <v>188148</v>
      </c>
      <c r="H302" s="122">
        <v>718403</v>
      </c>
      <c r="I302" s="122">
        <v>941986</v>
      </c>
      <c r="J302" s="122">
        <v>47718</v>
      </c>
      <c r="K302" s="122">
        <v>1708107</v>
      </c>
      <c r="L302" s="122">
        <v>248632</v>
      </c>
      <c r="M302" s="122">
        <v>326012</v>
      </c>
      <c r="N302" s="122">
        <v>16514</v>
      </c>
      <c r="O302" s="122">
        <v>591158</v>
      </c>
    </row>
    <row r="303" spans="1:15" ht="19.5" customHeight="1" x14ac:dyDescent="0.3">
      <c r="A303" s="133" t="s">
        <v>21</v>
      </c>
      <c r="B303" s="132" t="s">
        <v>9</v>
      </c>
      <c r="C303" s="121">
        <v>3040550</v>
      </c>
      <c r="D303" s="121">
        <v>699642</v>
      </c>
      <c r="E303" s="121">
        <v>248301</v>
      </c>
      <c r="F303" s="121">
        <v>10534</v>
      </c>
      <c r="G303" s="121">
        <v>958477</v>
      </c>
      <c r="H303" s="122">
        <v>1500035</v>
      </c>
      <c r="I303" s="122">
        <v>532356</v>
      </c>
      <c r="J303" s="122">
        <v>22585</v>
      </c>
      <c r="K303" s="122">
        <v>2054976</v>
      </c>
      <c r="L303" s="122">
        <v>20000</v>
      </c>
      <c r="M303" s="122">
        <v>7097</v>
      </c>
      <c r="N303" s="122">
        <v>0</v>
      </c>
      <c r="O303" s="122">
        <v>27097</v>
      </c>
    </row>
    <row r="304" spans="1:15" ht="19.5" customHeight="1" x14ac:dyDescent="0.3">
      <c r="A304" s="133" t="s">
        <v>25</v>
      </c>
      <c r="B304" s="132" t="s">
        <v>8</v>
      </c>
      <c r="C304" s="121">
        <v>4335730</v>
      </c>
      <c r="D304" s="121">
        <v>30977</v>
      </c>
      <c r="E304" s="121">
        <v>94498</v>
      </c>
      <c r="F304" s="121">
        <v>0</v>
      </c>
      <c r="G304" s="121">
        <v>125475</v>
      </c>
      <c r="H304" s="122">
        <v>600054</v>
      </c>
      <c r="I304" s="122">
        <v>1830514</v>
      </c>
      <c r="J304" s="122">
        <v>0</v>
      </c>
      <c r="K304" s="122">
        <v>2430568</v>
      </c>
      <c r="L304" s="122">
        <v>439366</v>
      </c>
      <c r="M304" s="122">
        <v>1340321</v>
      </c>
      <c r="N304" s="122">
        <v>0</v>
      </c>
      <c r="O304" s="122">
        <v>1779687</v>
      </c>
    </row>
    <row r="305" spans="1:15" ht="19.5" customHeight="1" x14ac:dyDescent="0.3">
      <c r="A305" s="133" t="s">
        <v>26</v>
      </c>
      <c r="B305" s="132" t="s">
        <v>7</v>
      </c>
      <c r="C305" s="121">
        <v>13365582</v>
      </c>
      <c r="D305" s="121">
        <v>11074</v>
      </c>
      <c r="E305" s="121">
        <v>133007</v>
      </c>
      <c r="F305" s="121">
        <v>0</v>
      </c>
      <c r="G305" s="121">
        <v>144081</v>
      </c>
      <c r="H305" s="122">
        <v>974324</v>
      </c>
      <c r="I305" s="122">
        <v>11703199</v>
      </c>
      <c r="J305" s="122">
        <v>0</v>
      </c>
      <c r="K305" s="122">
        <v>12677523</v>
      </c>
      <c r="L305" s="122">
        <v>41806</v>
      </c>
      <c r="M305" s="122">
        <v>502172</v>
      </c>
      <c r="N305" s="122">
        <v>0</v>
      </c>
      <c r="O305" s="122">
        <v>543978</v>
      </c>
    </row>
    <row r="306" spans="1:15" ht="19.5" customHeight="1" x14ac:dyDescent="0.3">
      <c r="A306" s="133" t="s">
        <v>20</v>
      </c>
      <c r="B306" s="132" t="s">
        <v>6</v>
      </c>
      <c r="C306" s="121">
        <v>1968679</v>
      </c>
      <c r="D306" s="121">
        <v>2839</v>
      </c>
      <c r="E306" s="121">
        <v>2054</v>
      </c>
      <c r="F306" s="121">
        <v>0</v>
      </c>
      <c r="G306" s="121">
        <v>4893</v>
      </c>
      <c r="H306" s="122">
        <v>1126462</v>
      </c>
      <c r="I306" s="122">
        <v>815301</v>
      </c>
      <c r="J306" s="122">
        <v>18922</v>
      </c>
      <c r="K306" s="122">
        <v>1960685</v>
      </c>
      <c r="L306" s="122">
        <v>1798</v>
      </c>
      <c r="M306" s="122">
        <v>1303</v>
      </c>
      <c r="N306" s="122">
        <v>0</v>
      </c>
      <c r="O306" s="122">
        <v>3101</v>
      </c>
    </row>
    <row r="307" spans="1:15" ht="19.5" customHeight="1" x14ac:dyDescent="0.3">
      <c r="A307" s="133" t="s">
        <v>19</v>
      </c>
      <c r="B307" s="132" t="s">
        <v>5</v>
      </c>
      <c r="C307" s="121">
        <v>3010431</v>
      </c>
      <c r="D307" s="121">
        <v>180679</v>
      </c>
      <c r="E307" s="121">
        <v>249839</v>
      </c>
      <c r="F307" s="121">
        <v>11232</v>
      </c>
      <c r="G307" s="121">
        <v>441750</v>
      </c>
      <c r="H307" s="122">
        <v>1037226</v>
      </c>
      <c r="I307" s="122">
        <v>1434250</v>
      </c>
      <c r="J307" s="122">
        <v>64481</v>
      </c>
      <c r="K307" s="122">
        <v>2535957</v>
      </c>
      <c r="L307" s="122">
        <v>13384</v>
      </c>
      <c r="M307" s="122">
        <v>18507</v>
      </c>
      <c r="N307" s="122">
        <v>833</v>
      </c>
      <c r="O307" s="122">
        <v>32724</v>
      </c>
    </row>
    <row r="308" spans="1:15" ht="19.5" customHeight="1" x14ac:dyDescent="0.3">
      <c r="A308" s="133" t="s">
        <v>18</v>
      </c>
      <c r="B308" s="132" t="s">
        <v>4</v>
      </c>
      <c r="C308" s="121">
        <v>2045543</v>
      </c>
      <c r="D308" s="121">
        <v>36113</v>
      </c>
      <c r="E308" s="121">
        <v>45014</v>
      </c>
      <c r="F308" s="121">
        <v>0</v>
      </c>
      <c r="G308" s="121">
        <v>81127</v>
      </c>
      <c r="H308" s="122">
        <v>869188</v>
      </c>
      <c r="I308" s="122">
        <v>1083406</v>
      </c>
      <c r="J308" s="122">
        <v>0</v>
      </c>
      <c r="K308" s="122">
        <v>1952594</v>
      </c>
      <c r="L308" s="122">
        <v>5263</v>
      </c>
      <c r="M308" s="122">
        <v>6559</v>
      </c>
      <c r="N308" s="122">
        <v>0</v>
      </c>
      <c r="O308" s="122">
        <v>11822</v>
      </c>
    </row>
    <row r="309" spans="1:15" ht="19.5" customHeight="1" x14ac:dyDescent="0.3">
      <c r="A309" s="133" t="s">
        <v>25</v>
      </c>
      <c r="B309" s="132" t="s">
        <v>3</v>
      </c>
      <c r="C309" s="121">
        <v>1696110</v>
      </c>
      <c r="D309" s="121">
        <v>62806</v>
      </c>
      <c r="E309" s="121">
        <v>28393</v>
      </c>
      <c r="F309" s="121">
        <v>2661</v>
      </c>
      <c r="G309" s="121">
        <v>93860</v>
      </c>
      <c r="H309" s="122">
        <v>842141</v>
      </c>
      <c r="I309" s="122">
        <v>380717</v>
      </c>
      <c r="J309" s="122">
        <v>35691</v>
      </c>
      <c r="K309" s="122">
        <v>1258549</v>
      </c>
      <c r="L309" s="122">
        <v>229982</v>
      </c>
      <c r="M309" s="122">
        <v>103972</v>
      </c>
      <c r="N309" s="122">
        <v>9747</v>
      </c>
      <c r="O309" s="122">
        <v>343701</v>
      </c>
    </row>
    <row r="310" spans="1:15" ht="102.75" customHeight="1" x14ac:dyDescent="0.3">
      <c r="A310" s="133" t="s">
        <v>30</v>
      </c>
      <c r="B310" s="132" t="s">
        <v>130</v>
      </c>
      <c r="C310" s="121">
        <v>266508</v>
      </c>
      <c r="D310" s="121">
        <v>7782</v>
      </c>
      <c r="E310" s="121">
        <v>0</v>
      </c>
      <c r="F310" s="121">
        <v>0</v>
      </c>
      <c r="G310" s="121">
        <v>7782</v>
      </c>
      <c r="H310" s="122">
        <v>239932</v>
      </c>
      <c r="I310" s="122">
        <v>0</v>
      </c>
      <c r="J310" s="122">
        <v>0</v>
      </c>
      <c r="K310" s="122">
        <v>239932</v>
      </c>
      <c r="L310" s="122">
        <v>18794</v>
      </c>
      <c r="M310" s="122">
        <v>0</v>
      </c>
      <c r="N310" s="122">
        <v>0</v>
      </c>
      <c r="O310" s="122">
        <v>18794</v>
      </c>
    </row>
    <row r="311" spans="1:15" ht="105.75" customHeight="1" x14ac:dyDescent="0.3">
      <c r="A311" s="133" t="s">
        <v>31</v>
      </c>
      <c r="B311" s="132" t="s">
        <v>131</v>
      </c>
      <c r="C311" s="121">
        <v>165936</v>
      </c>
      <c r="D311" s="121">
        <v>12119</v>
      </c>
      <c r="E311" s="121">
        <v>0</v>
      </c>
      <c r="F311" s="121">
        <v>0</v>
      </c>
      <c r="G311" s="121">
        <v>12119</v>
      </c>
      <c r="H311" s="122">
        <v>148659</v>
      </c>
      <c r="I311" s="122">
        <v>0</v>
      </c>
      <c r="J311" s="122">
        <v>0</v>
      </c>
      <c r="K311" s="122">
        <v>148659</v>
      </c>
      <c r="L311" s="122">
        <v>5158</v>
      </c>
      <c r="M311" s="122">
        <v>0</v>
      </c>
      <c r="N311" s="122">
        <v>0</v>
      </c>
      <c r="O311" s="122">
        <v>5158</v>
      </c>
    </row>
    <row r="312" spans="1:15" ht="19.5" customHeight="1" x14ac:dyDescent="0.3">
      <c r="A312" s="133" t="s">
        <v>32</v>
      </c>
      <c r="B312" s="132" t="s">
        <v>73</v>
      </c>
      <c r="C312" s="121">
        <v>132144</v>
      </c>
      <c r="D312" s="121">
        <v>18438</v>
      </c>
      <c r="E312" s="121">
        <v>0</v>
      </c>
      <c r="F312" s="121">
        <v>0</v>
      </c>
      <c r="G312" s="121">
        <v>18438</v>
      </c>
      <c r="H312" s="122">
        <v>65984</v>
      </c>
      <c r="I312" s="122">
        <v>0</v>
      </c>
      <c r="J312" s="122">
        <v>0</v>
      </c>
      <c r="K312" s="122">
        <v>65984</v>
      </c>
      <c r="L312" s="122">
        <v>47722</v>
      </c>
      <c r="M312" s="122">
        <v>0</v>
      </c>
      <c r="N312" s="122">
        <v>0</v>
      </c>
      <c r="O312" s="122">
        <v>47722</v>
      </c>
    </row>
    <row r="313" spans="1:15" ht="19.5" customHeight="1" x14ac:dyDescent="0.3">
      <c r="A313" s="133" t="s">
        <v>90</v>
      </c>
      <c r="B313" s="132" t="s">
        <v>132</v>
      </c>
      <c r="C313" s="121">
        <v>88719</v>
      </c>
      <c r="D313" s="121">
        <v>0</v>
      </c>
      <c r="E313" s="121">
        <v>9972</v>
      </c>
      <c r="F313" s="121">
        <v>0</v>
      </c>
      <c r="G313" s="121">
        <v>9972</v>
      </c>
      <c r="H313" s="122">
        <v>0</v>
      </c>
      <c r="I313" s="122">
        <v>52440</v>
      </c>
      <c r="J313" s="122">
        <v>0</v>
      </c>
      <c r="K313" s="122">
        <v>52440</v>
      </c>
      <c r="L313" s="122">
        <v>0</v>
      </c>
      <c r="M313" s="122">
        <v>26307</v>
      </c>
      <c r="N313" s="122">
        <v>0</v>
      </c>
      <c r="O313" s="122">
        <v>26307</v>
      </c>
    </row>
    <row r="314" spans="1:15" ht="19.5" customHeight="1" x14ac:dyDescent="0.25">
      <c r="A314" s="134"/>
      <c r="B314" s="134" t="s">
        <v>0</v>
      </c>
      <c r="C314" s="135">
        <v>54528827</v>
      </c>
      <c r="D314" s="135">
        <v>1829966</v>
      </c>
      <c r="E314" s="135">
        <v>2596093</v>
      </c>
      <c r="F314" s="135">
        <v>65443</v>
      </c>
      <c r="G314" s="135">
        <v>4491502</v>
      </c>
      <c r="H314" s="135">
        <v>11941601</v>
      </c>
      <c r="I314" s="135">
        <v>28977814</v>
      </c>
      <c r="J314" s="135">
        <v>399450</v>
      </c>
      <c r="K314" s="135">
        <v>41318865</v>
      </c>
      <c r="L314" s="135">
        <v>2573755</v>
      </c>
      <c r="M314" s="135">
        <v>6038939</v>
      </c>
      <c r="N314" s="135">
        <v>105766</v>
      </c>
      <c r="O314" s="135">
        <v>8718460</v>
      </c>
    </row>
    <row r="316" spans="1:15" ht="18.75" customHeight="1" x14ac:dyDescent="0.25">
      <c r="A316" s="150" t="s">
        <v>112</v>
      </c>
      <c r="B316" s="150"/>
      <c r="C316" s="150"/>
      <c r="D316" s="150"/>
      <c r="E316" s="150"/>
      <c r="F316" s="150"/>
      <c r="G316" s="150"/>
      <c r="H316" s="150"/>
      <c r="I316" s="150"/>
      <c r="J316" s="150"/>
      <c r="K316" s="150"/>
      <c r="L316" s="150"/>
      <c r="M316" s="150"/>
      <c r="N316" s="150"/>
      <c r="O316" s="150"/>
    </row>
    <row r="317" spans="1:15" ht="18.75" customHeight="1" x14ac:dyDescent="0.25">
      <c r="A317" s="143"/>
      <c r="B317" s="143"/>
      <c r="C317" s="143"/>
      <c r="D317" s="143"/>
      <c r="E317" s="143"/>
      <c r="F317" s="143"/>
      <c r="G317" s="143"/>
      <c r="H317" s="143"/>
      <c r="I317" s="143"/>
      <c r="J317" s="143"/>
      <c r="K317" s="143"/>
      <c r="L317" s="143"/>
      <c r="M317" s="143"/>
      <c r="N317" s="143"/>
      <c r="O317" s="143"/>
    </row>
    <row r="318" spans="1:15" s="126" customFormat="1" ht="28.5" customHeight="1" x14ac:dyDescent="0.25">
      <c r="A318" s="144" t="s">
        <v>17</v>
      </c>
      <c r="B318" s="144" t="s">
        <v>33</v>
      </c>
      <c r="C318" s="144" t="s">
        <v>125</v>
      </c>
      <c r="D318" s="144" t="s">
        <v>69</v>
      </c>
      <c r="E318" s="144"/>
      <c r="F318" s="144"/>
      <c r="G318" s="144"/>
      <c r="H318" s="144"/>
      <c r="I318" s="144"/>
      <c r="J318" s="144"/>
      <c r="K318" s="144"/>
      <c r="L318" s="144"/>
      <c r="M318" s="144"/>
      <c r="N318" s="144"/>
      <c r="O318" s="144"/>
    </row>
    <row r="319" spans="1:15" s="126" customFormat="1" ht="41.25" customHeight="1" x14ac:dyDescent="0.25">
      <c r="A319" s="144"/>
      <c r="B319" s="144"/>
      <c r="C319" s="144"/>
      <c r="D319" s="146" t="s">
        <v>36</v>
      </c>
      <c r="E319" s="146"/>
      <c r="F319" s="146"/>
      <c r="G319" s="146"/>
      <c r="H319" s="147" t="s">
        <v>37</v>
      </c>
      <c r="I319" s="148"/>
      <c r="J319" s="148"/>
      <c r="K319" s="149"/>
      <c r="L319" s="147" t="s">
        <v>38</v>
      </c>
      <c r="M319" s="148"/>
      <c r="N319" s="148"/>
      <c r="O319" s="149"/>
    </row>
    <row r="320" spans="1:15" s="126" customFormat="1" ht="59.25" customHeight="1" x14ac:dyDescent="0.25">
      <c r="A320" s="144"/>
      <c r="B320" s="144"/>
      <c r="C320" s="144"/>
      <c r="D320" s="127" t="s">
        <v>66</v>
      </c>
      <c r="E320" s="127" t="s">
        <v>67</v>
      </c>
      <c r="F320" s="127" t="s">
        <v>68</v>
      </c>
      <c r="G320" s="127" t="s">
        <v>70</v>
      </c>
      <c r="H320" s="128" t="s">
        <v>66</v>
      </c>
      <c r="I320" s="128" t="s">
        <v>67</v>
      </c>
      <c r="J320" s="128" t="s">
        <v>68</v>
      </c>
      <c r="K320" s="128" t="s">
        <v>71</v>
      </c>
      <c r="L320" s="128" t="s">
        <v>66</v>
      </c>
      <c r="M320" s="128" t="s">
        <v>67</v>
      </c>
      <c r="N320" s="128" t="s">
        <v>68</v>
      </c>
      <c r="O320" s="128" t="s">
        <v>72</v>
      </c>
    </row>
    <row r="321" spans="1:15" s="131" customFormat="1" ht="14.25" customHeight="1" x14ac:dyDescent="0.25">
      <c r="A321" s="129">
        <v>1</v>
      </c>
      <c r="B321" s="129">
        <v>2</v>
      </c>
      <c r="C321" s="129">
        <v>3</v>
      </c>
      <c r="D321" s="129">
        <v>4</v>
      </c>
      <c r="E321" s="129">
        <v>5</v>
      </c>
      <c r="F321" s="129">
        <v>6</v>
      </c>
      <c r="G321" s="129">
        <v>7</v>
      </c>
      <c r="H321" s="130">
        <v>8</v>
      </c>
      <c r="I321" s="130">
        <v>9</v>
      </c>
      <c r="J321" s="130">
        <v>10</v>
      </c>
      <c r="K321" s="130">
        <v>11</v>
      </c>
      <c r="L321" s="130">
        <v>12</v>
      </c>
      <c r="M321" s="130">
        <v>13</v>
      </c>
      <c r="N321" s="130">
        <v>14</v>
      </c>
      <c r="O321" s="130">
        <v>15</v>
      </c>
    </row>
    <row r="322" spans="1:15" s="131" customFormat="1" ht="36.75" customHeight="1" x14ac:dyDescent="0.3">
      <c r="A322" s="129" t="s">
        <v>16</v>
      </c>
      <c r="B322" s="132" t="s">
        <v>15</v>
      </c>
      <c r="C322" s="121">
        <v>3486199</v>
      </c>
      <c r="D322" s="121">
        <v>117550</v>
      </c>
      <c r="E322" s="121">
        <v>285353</v>
      </c>
      <c r="F322" s="121">
        <v>6307</v>
      </c>
      <c r="G322" s="121">
        <v>409210</v>
      </c>
      <c r="H322" s="121">
        <v>639064</v>
      </c>
      <c r="I322" s="121">
        <v>1551331</v>
      </c>
      <c r="J322" s="121">
        <v>34288</v>
      </c>
      <c r="K322" s="122">
        <v>2224683</v>
      </c>
      <c r="L322" s="121">
        <v>244834</v>
      </c>
      <c r="M322" s="121">
        <v>594336</v>
      </c>
      <c r="N322" s="121">
        <v>13136</v>
      </c>
      <c r="O322" s="122">
        <v>852306</v>
      </c>
    </row>
    <row r="323" spans="1:15" ht="40.5" customHeight="1" x14ac:dyDescent="0.3">
      <c r="A323" s="133" t="s">
        <v>24</v>
      </c>
      <c r="B323" s="132" t="s">
        <v>14</v>
      </c>
      <c r="C323" s="121">
        <v>368077</v>
      </c>
      <c r="D323" s="121">
        <v>24175</v>
      </c>
      <c r="E323" s="121">
        <v>18827</v>
      </c>
      <c r="F323" s="121">
        <v>0</v>
      </c>
      <c r="G323" s="121">
        <v>43002</v>
      </c>
      <c r="H323" s="121">
        <v>126165</v>
      </c>
      <c r="I323" s="121">
        <v>98256</v>
      </c>
      <c r="J323" s="121">
        <v>0</v>
      </c>
      <c r="K323" s="122">
        <v>224421</v>
      </c>
      <c r="L323" s="121">
        <v>56586</v>
      </c>
      <c r="M323" s="121">
        <v>44068</v>
      </c>
      <c r="N323" s="121">
        <v>0</v>
      </c>
      <c r="O323" s="122">
        <v>100654</v>
      </c>
    </row>
    <row r="324" spans="1:15" ht="34.5" customHeight="1" x14ac:dyDescent="0.3">
      <c r="A324" s="133" t="s">
        <v>24</v>
      </c>
      <c r="B324" s="132" t="s">
        <v>13</v>
      </c>
      <c r="C324" s="121">
        <v>1256972</v>
      </c>
      <c r="D324" s="121">
        <v>0</v>
      </c>
      <c r="E324" s="121">
        <v>113819</v>
      </c>
      <c r="F324" s="121">
        <v>0</v>
      </c>
      <c r="G324" s="121">
        <v>113819</v>
      </c>
      <c r="H324" s="121">
        <v>0</v>
      </c>
      <c r="I324" s="121">
        <v>863791</v>
      </c>
      <c r="J324" s="121">
        <v>0</v>
      </c>
      <c r="K324" s="122">
        <v>863791</v>
      </c>
      <c r="L324" s="121">
        <v>0</v>
      </c>
      <c r="M324" s="121">
        <v>279362</v>
      </c>
      <c r="N324" s="121">
        <v>0</v>
      </c>
      <c r="O324" s="122">
        <v>279362</v>
      </c>
    </row>
    <row r="325" spans="1:15" ht="40.5" customHeight="1" x14ac:dyDescent="0.3">
      <c r="A325" s="133" t="s">
        <v>22</v>
      </c>
      <c r="B325" s="132" t="s">
        <v>12</v>
      </c>
      <c r="C325" s="121">
        <v>176469</v>
      </c>
      <c r="D325" s="121">
        <v>18065</v>
      </c>
      <c r="E325" s="121">
        <v>0</v>
      </c>
      <c r="F325" s="121">
        <v>0</v>
      </c>
      <c r="G325" s="121">
        <v>18065</v>
      </c>
      <c r="H325" s="121">
        <v>117930</v>
      </c>
      <c r="I325" s="121">
        <v>0</v>
      </c>
      <c r="J325" s="121">
        <v>0</v>
      </c>
      <c r="K325" s="122">
        <v>117930</v>
      </c>
      <c r="L325" s="121">
        <v>40474</v>
      </c>
      <c r="M325" s="121">
        <v>0</v>
      </c>
      <c r="N325" s="121">
        <v>0</v>
      </c>
      <c r="O325" s="122">
        <v>40474</v>
      </c>
    </row>
    <row r="326" spans="1:15" ht="47.25" customHeight="1" x14ac:dyDescent="0.3">
      <c r="A326" s="133" t="s">
        <v>23</v>
      </c>
      <c r="B326" s="132" t="s">
        <v>11</v>
      </c>
      <c r="C326" s="121">
        <v>274444</v>
      </c>
      <c r="D326" s="121">
        <v>9754</v>
      </c>
      <c r="E326" s="121">
        <v>12836</v>
      </c>
      <c r="F326" s="121">
        <v>3246</v>
      </c>
      <c r="G326" s="121">
        <v>25836</v>
      </c>
      <c r="H326" s="121">
        <v>69209</v>
      </c>
      <c r="I326" s="121">
        <v>91076</v>
      </c>
      <c r="J326" s="121">
        <v>23029</v>
      </c>
      <c r="K326" s="122">
        <v>183314</v>
      </c>
      <c r="L326" s="121">
        <v>24651</v>
      </c>
      <c r="M326" s="121">
        <v>32440</v>
      </c>
      <c r="N326" s="121">
        <v>8203</v>
      </c>
      <c r="O326" s="122">
        <v>65294</v>
      </c>
    </row>
    <row r="327" spans="1:15" ht="28.5" customHeight="1" x14ac:dyDescent="0.3">
      <c r="A327" s="133" t="s">
        <v>20</v>
      </c>
      <c r="B327" s="132" t="s">
        <v>34</v>
      </c>
      <c r="C327" s="121">
        <v>326117</v>
      </c>
      <c r="D327" s="121">
        <v>37155</v>
      </c>
      <c r="E327" s="121">
        <v>0</v>
      </c>
      <c r="F327" s="121">
        <v>0</v>
      </c>
      <c r="G327" s="121">
        <v>37155</v>
      </c>
      <c r="H327" s="121">
        <v>193906</v>
      </c>
      <c r="I327" s="121">
        <v>0</v>
      </c>
      <c r="J327" s="121">
        <v>0</v>
      </c>
      <c r="K327" s="122">
        <v>193906</v>
      </c>
      <c r="L327" s="121">
        <v>95056</v>
      </c>
      <c r="M327" s="121">
        <v>0</v>
      </c>
      <c r="N327" s="121">
        <v>0</v>
      </c>
      <c r="O327" s="122">
        <v>95056</v>
      </c>
    </row>
    <row r="328" spans="1:15" ht="34.5" customHeight="1" x14ac:dyDescent="0.3">
      <c r="A328" s="133" t="s">
        <v>22</v>
      </c>
      <c r="B328" s="132" t="s">
        <v>10</v>
      </c>
      <c r="C328" s="121">
        <v>1096352</v>
      </c>
      <c r="D328" s="121">
        <v>34537</v>
      </c>
      <c r="E328" s="121">
        <v>45919</v>
      </c>
      <c r="F328" s="121">
        <v>2472</v>
      </c>
      <c r="G328" s="121">
        <v>82928</v>
      </c>
      <c r="H328" s="121">
        <v>313548</v>
      </c>
      <c r="I328" s="121">
        <v>416873</v>
      </c>
      <c r="J328" s="121">
        <v>22444</v>
      </c>
      <c r="K328" s="122">
        <v>752865</v>
      </c>
      <c r="L328" s="121">
        <v>108516</v>
      </c>
      <c r="M328" s="121">
        <v>144275</v>
      </c>
      <c r="N328" s="121">
        <v>7768</v>
      </c>
      <c r="O328" s="122">
        <v>260559</v>
      </c>
    </row>
    <row r="329" spans="1:15" ht="25.5" customHeight="1" x14ac:dyDescent="0.3">
      <c r="A329" s="133" t="s">
        <v>21</v>
      </c>
      <c r="B329" s="132" t="s">
        <v>9</v>
      </c>
      <c r="C329" s="121">
        <v>1249263</v>
      </c>
      <c r="D329" s="121">
        <v>298529</v>
      </c>
      <c r="E329" s="121">
        <v>91140</v>
      </c>
      <c r="F329" s="121">
        <v>4136</v>
      </c>
      <c r="G329" s="121">
        <v>393805</v>
      </c>
      <c r="H329" s="121">
        <v>640048</v>
      </c>
      <c r="I329" s="121">
        <v>195403</v>
      </c>
      <c r="J329" s="121">
        <v>8868</v>
      </c>
      <c r="K329" s="122">
        <v>844319</v>
      </c>
      <c r="L329" s="121">
        <v>8534</v>
      </c>
      <c r="M329" s="121">
        <v>2605</v>
      </c>
      <c r="N329" s="121">
        <v>0</v>
      </c>
      <c r="O329" s="122">
        <v>11139</v>
      </c>
    </row>
    <row r="330" spans="1:15" s="125" customFormat="1" ht="25.5" customHeight="1" x14ac:dyDescent="0.3">
      <c r="A330" s="141" t="s">
        <v>25</v>
      </c>
      <c r="B330" s="142" t="s">
        <v>8</v>
      </c>
      <c r="C330" s="121">
        <v>1180062</v>
      </c>
      <c r="D330" s="121">
        <v>8089</v>
      </c>
      <c r="E330" s="121">
        <v>26062</v>
      </c>
      <c r="F330" s="121">
        <v>0</v>
      </c>
      <c r="G330" s="122">
        <v>34151</v>
      </c>
      <c r="H330" s="121">
        <v>156701</v>
      </c>
      <c r="I330" s="121">
        <v>504830</v>
      </c>
      <c r="J330" s="121">
        <v>0</v>
      </c>
      <c r="K330" s="122">
        <v>661531</v>
      </c>
      <c r="L330" s="121">
        <v>114738</v>
      </c>
      <c r="M330" s="121">
        <v>369642</v>
      </c>
      <c r="N330" s="121">
        <v>0</v>
      </c>
      <c r="O330" s="122">
        <v>484380</v>
      </c>
    </row>
    <row r="331" spans="1:15" ht="25.5" customHeight="1" x14ac:dyDescent="0.3">
      <c r="A331" s="133" t="s">
        <v>26</v>
      </c>
      <c r="B331" s="132" t="s">
        <v>7</v>
      </c>
      <c r="C331" s="121">
        <v>10201190</v>
      </c>
      <c r="D331" s="121">
        <v>7591</v>
      </c>
      <c r="E331" s="121">
        <v>102377</v>
      </c>
      <c r="F331" s="121">
        <v>0</v>
      </c>
      <c r="G331" s="121">
        <v>109968</v>
      </c>
      <c r="H331" s="121">
        <v>667962</v>
      </c>
      <c r="I331" s="121">
        <v>9008071</v>
      </c>
      <c r="J331" s="121">
        <v>0</v>
      </c>
      <c r="K331" s="122">
        <v>9676033</v>
      </c>
      <c r="L331" s="121">
        <v>28662</v>
      </c>
      <c r="M331" s="121">
        <v>386527</v>
      </c>
      <c r="N331" s="121">
        <v>0</v>
      </c>
      <c r="O331" s="122">
        <v>415189</v>
      </c>
    </row>
    <row r="332" spans="1:15" ht="25.5" customHeight="1" x14ac:dyDescent="0.3">
      <c r="A332" s="133" t="s">
        <v>20</v>
      </c>
      <c r="B332" s="132" t="s">
        <v>6</v>
      </c>
      <c r="C332" s="121">
        <v>674861</v>
      </c>
      <c r="D332" s="121">
        <v>944</v>
      </c>
      <c r="E332" s="121">
        <v>694</v>
      </c>
      <c r="F332" s="121">
        <v>0</v>
      </c>
      <c r="G332" s="121">
        <v>1638</v>
      </c>
      <c r="H332" s="121">
        <v>374460</v>
      </c>
      <c r="I332" s="121">
        <v>275361</v>
      </c>
      <c r="J332" s="121">
        <v>20137</v>
      </c>
      <c r="K332" s="122">
        <v>669958</v>
      </c>
      <c r="L332" s="121">
        <v>1434</v>
      </c>
      <c r="M332" s="121">
        <v>1831</v>
      </c>
      <c r="N332" s="121">
        <v>0</v>
      </c>
      <c r="O332" s="122">
        <v>3265</v>
      </c>
    </row>
    <row r="333" spans="1:15" ht="25.5" customHeight="1" x14ac:dyDescent="0.3">
      <c r="A333" s="133" t="s">
        <v>19</v>
      </c>
      <c r="B333" s="132" t="s">
        <v>5</v>
      </c>
      <c r="C333" s="121">
        <v>1032143</v>
      </c>
      <c r="D333" s="121">
        <v>82994</v>
      </c>
      <c r="E333" s="121">
        <v>64651</v>
      </c>
      <c r="F333" s="121">
        <v>3677</v>
      </c>
      <c r="G333" s="121">
        <v>151322</v>
      </c>
      <c r="H333" s="121">
        <v>476442</v>
      </c>
      <c r="I333" s="121">
        <v>371140</v>
      </c>
      <c r="J333" s="121">
        <v>21110</v>
      </c>
      <c r="K333" s="122">
        <v>868692</v>
      </c>
      <c r="L333" s="121">
        <v>6148</v>
      </c>
      <c r="M333" s="121">
        <v>4789</v>
      </c>
      <c r="N333" s="121">
        <v>1192</v>
      </c>
      <c r="O333" s="122">
        <v>12129</v>
      </c>
    </row>
    <row r="334" spans="1:15" ht="25.5" customHeight="1" x14ac:dyDescent="0.3">
      <c r="A334" s="133" t="s">
        <v>18</v>
      </c>
      <c r="B334" s="132" t="s">
        <v>4</v>
      </c>
      <c r="C334" s="121">
        <v>608624</v>
      </c>
      <c r="D334" s="121">
        <v>10745</v>
      </c>
      <c r="E334" s="121">
        <v>13393</v>
      </c>
      <c r="F334" s="121">
        <v>0</v>
      </c>
      <c r="G334" s="121">
        <v>24138</v>
      </c>
      <c r="H334" s="121">
        <v>258615</v>
      </c>
      <c r="I334" s="121">
        <v>322353</v>
      </c>
      <c r="J334" s="121">
        <v>0</v>
      </c>
      <c r="K334" s="122">
        <v>580968</v>
      </c>
      <c r="L334" s="121">
        <v>1566</v>
      </c>
      <c r="M334" s="121">
        <v>1952</v>
      </c>
      <c r="N334" s="121">
        <v>0</v>
      </c>
      <c r="O334" s="122">
        <v>3518</v>
      </c>
    </row>
    <row r="335" spans="1:15" ht="25.5" customHeight="1" x14ac:dyDescent="0.3">
      <c r="A335" s="133" t="s">
        <v>25</v>
      </c>
      <c r="B335" s="132" t="s">
        <v>3</v>
      </c>
      <c r="C335" s="121">
        <v>996482</v>
      </c>
      <c r="D335" s="121">
        <v>35866</v>
      </c>
      <c r="E335" s="121">
        <v>17627</v>
      </c>
      <c r="F335" s="121">
        <v>1652</v>
      </c>
      <c r="G335" s="121">
        <v>55145</v>
      </c>
      <c r="H335" s="121">
        <v>480903</v>
      </c>
      <c r="I335" s="121">
        <v>236350</v>
      </c>
      <c r="J335" s="121">
        <v>22157</v>
      </c>
      <c r="K335" s="122">
        <v>739410</v>
      </c>
      <c r="L335" s="121">
        <v>131331</v>
      </c>
      <c r="M335" s="121">
        <v>64545</v>
      </c>
      <c r="N335" s="121">
        <v>6051</v>
      </c>
      <c r="O335" s="122">
        <v>201927</v>
      </c>
    </row>
    <row r="336" spans="1:15" ht="99" customHeight="1" x14ac:dyDescent="0.3">
      <c r="A336" s="133" t="s">
        <v>30</v>
      </c>
      <c r="B336" s="132" t="s">
        <v>130</v>
      </c>
      <c r="C336" s="121">
        <v>114599</v>
      </c>
      <c r="D336" s="121">
        <v>3348</v>
      </c>
      <c r="E336" s="121">
        <v>0</v>
      </c>
      <c r="F336" s="121">
        <v>0</v>
      </c>
      <c r="G336" s="121">
        <v>3348</v>
      </c>
      <c r="H336" s="121">
        <v>103171</v>
      </c>
      <c r="I336" s="121">
        <v>0</v>
      </c>
      <c r="J336" s="121">
        <v>0</v>
      </c>
      <c r="K336" s="122">
        <v>103171</v>
      </c>
      <c r="L336" s="121">
        <v>8080</v>
      </c>
      <c r="M336" s="121">
        <v>0</v>
      </c>
      <c r="N336" s="121">
        <v>0</v>
      </c>
      <c r="O336" s="122">
        <v>8080</v>
      </c>
    </row>
    <row r="337" spans="1:15" ht="100.5" customHeight="1" x14ac:dyDescent="0.3">
      <c r="A337" s="133" t="s">
        <v>31</v>
      </c>
      <c r="B337" s="132" t="s">
        <v>131</v>
      </c>
      <c r="C337" s="121">
        <v>91584</v>
      </c>
      <c r="D337" s="121">
        <v>6689</v>
      </c>
      <c r="E337" s="121">
        <v>0</v>
      </c>
      <c r="F337" s="121">
        <v>0</v>
      </c>
      <c r="G337" s="121">
        <v>6689</v>
      </c>
      <c r="H337" s="121">
        <v>82048</v>
      </c>
      <c r="I337" s="121">
        <v>0</v>
      </c>
      <c r="J337" s="121">
        <v>0</v>
      </c>
      <c r="K337" s="122">
        <v>82048</v>
      </c>
      <c r="L337" s="121">
        <v>2847</v>
      </c>
      <c r="M337" s="121">
        <v>0</v>
      </c>
      <c r="N337" s="121">
        <v>0</v>
      </c>
      <c r="O337" s="122">
        <v>2847</v>
      </c>
    </row>
    <row r="338" spans="1:15" ht="33" customHeight="1" x14ac:dyDescent="0.3">
      <c r="A338" s="133" t="s">
        <v>32</v>
      </c>
      <c r="B338" s="132" t="s">
        <v>73</v>
      </c>
      <c r="C338" s="121">
        <v>38930</v>
      </c>
      <c r="D338" s="121">
        <v>5432</v>
      </c>
      <c r="E338" s="121">
        <v>0</v>
      </c>
      <c r="F338" s="121">
        <v>0</v>
      </c>
      <c r="G338" s="121">
        <v>5432</v>
      </c>
      <c r="H338" s="121">
        <v>19439</v>
      </c>
      <c r="I338" s="121">
        <v>0</v>
      </c>
      <c r="J338" s="121">
        <v>0</v>
      </c>
      <c r="K338" s="122">
        <v>19439</v>
      </c>
      <c r="L338" s="121">
        <v>14059</v>
      </c>
      <c r="M338" s="121">
        <v>0</v>
      </c>
      <c r="N338" s="121">
        <v>0</v>
      </c>
      <c r="O338" s="122">
        <v>14059</v>
      </c>
    </row>
    <row r="339" spans="1:15" ht="33" customHeight="1" x14ac:dyDescent="0.3">
      <c r="A339" s="133" t="s">
        <v>90</v>
      </c>
      <c r="B339" s="132" t="s">
        <v>132</v>
      </c>
      <c r="C339" s="121">
        <v>29573</v>
      </c>
      <c r="D339" s="121">
        <v>0</v>
      </c>
      <c r="E339" s="121">
        <v>3324</v>
      </c>
      <c r="F339" s="121">
        <v>0</v>
      </c>
      <c r="G339" s="121">
        <v>3324</v>
      </c>
      <c r="H339" s="121">
        <v>0</v>
      </c>
      <c r="I339" s="121">
        <v>17480</v>
      </c>
      <c r="J339" s="121">
        <v>0</v>
      </c>
      <c r="K339" s="122">
        <v>17480</v>
      </c>
      <c r="L339" s="121">
        <v>0</v>
      </c>
      <c r="M339" s="121">
        <v>8769</v>
      </c>
      <c r="N339" s="121">
        <v>0</v>
      </c>
      <c r="O339" s="122">
        <v>8769</v>
      </c>
    </row>
    <row r="340" spans="1:15" ht="25.5" customHeight="1" x14ac:dyDescent="0.25">
      <c r="A340" s="134"/>
      <c r="B340" s="134" t="s">
        <v>0</v>
      </c>
      <c r="C340" s="135">
        <v>23201941</v>
      </c>
      <c r="D340" s="135">
        <v>701463</v>
      </c>
      <c r="E340" s="135">
        <v>796022</v>
      </c>
      <c r="F340" s="135">
        <v>21490</v>
      </c>
      <c r="G340" s="135">
        <v>1518975</v>
      </c>
      <c r="H340" s="135">
        <v>4719611</v>
      </c>
      <c r="I340" s="135">
        <v>13952315</v>
      </c>
      <c r="J340" s="135">
        <v>152033</v>
      </c>
      <c r="K340" s="135">
        <v>18823959</v>
      </c>
      <c r="L340" s="135">
        <v>887516</v>
      </c>
      <c r="M340" s="135">
        <v>1935141</v>
      </c>
      <c r="N340" s="135">
        <v>36350</v>
      </c>
      <c r="O340" s="135">
        <v>2859007</v>
      </c>
    </row>
    <row r="342" spans="1:15" ht="19.5" customHeight="1" x14ac:dyDescent="0.25">
      <c r="A342" s="150" t="s">
        <v>112</v>
      </c>
      <c r="B342" s="150"/>
      <c r="C342" s="150"/>
      <c r="D342" s="150"/>
      <c r="E342" s="150"/>
      <c r="F342" s="150"/>
      <c r="G342" s="150"/>
      <c r="H342" s="150"/>
      <c r="I342" s="150"/>
      <c r="J342" s="150"/>
      <c r="K342" s="150"/>
      <c r="L342" s="150"/>
      <c r="M342" s="150"/>
      <c r="N342" s="150"/>
      <c r="O342" s="150"/>
    </row>
    <row r="343" spans="1:15" ht="19.5" customHeight="1" x14ac:dyDescent="0.25">
      <c r="A343" s="136"/>
      <c r="B343" s="136"/>
      <c r="C343" s="136"/>
      <c r="D343" s="136"/>
      <c r="E343" s="136"/>
      <c r="F343" s="136"/>
      <c r="G343" s="136"/>
      <c r="H343" s="136"/>
      <c r="I343" s="136"/>
      <c r="J343" s="136"/>
      <c r="K343" s="136"/>
      <c r="L343" s="136"/>
      <c r="M343" s="136"/>
      <c r="N343" s="136"/>
      <c r="O343" s="136"/>
    </row>
    <row r="344" spans="1:15" s="126" customFormat="1" ht="28.5" customHeight="1" x14ac:dyDescent="0.25">
      <c r="A344" s="144" t="s">
        <v>17</v>
      </c>
      <c r="B344" s="144" t="s">
        <v>33</v>
      </c>
      <c r="C344" s="144" t="s">
        <v>127</v>
      </c>
      <c r="D344" s="144" t="s">
        <v>69</v>
      </c>
      <c r="E344" s="144"/>
      <c r="F344" s="144"/>
      <c r="G344" s="144"/>
      <c r="H344" s="144"/>
      <c r="I344" s="144"/>
      <c r="J344" s="144"/>
      <c r="K344" s="144"/>
      <c r="L344" s="144"/>
      <c r="M344" s="144"/>
      <c r="N344" s="144"/>
      <c r="O344" s="144"/>
    </row>
    <row r="345" spans="1:15" s="126" customFormat="1" ht="41.25" customHeight="1" x14ac:dyDescent="0.25">
      <c r="A345" s="144"/>
      <c r="B345" s="144"/>
      <c r="C345" s="144"/>
      <c r="D345" s="146" t="s">
        <v>36</v>
      </c>
      <c r="E345" s="146"/>
      <c r="F345" s="146"/>
      <c r="G345" s="146"/>
      <c r="H345" s="147" t="s">
        <v>37</v>
      </c>
      <c r="I345" s="148"/>
      <c r="J345" s="148"/>
      <c r="K345" s="149"/>
      <c r="L345" s="147" t="s">
        <v>38</v>
      </c>
      <c r="M345" s="148"/>
      <c r="N345" s="148"/>
      <c r="O345" s="149"/>
    </row>
    <row r="346" spans="1:15" s="126" customFormat="1" ht="59.25" customHeight="1" x14ac:dyDescent="0.25">
      <c r="A346" s="144"/>
      <c r="B346" s="144"/>
      <c r="C346" s="144"/>
      <c r="D346" s="127" t="s">
        <v>66</v>
      </c>
      <c r="E346" s="127" t="s">
        <v>67</v>
      </c>
      <c r="F346" s="127" t="s">
        <v>68</v>
      </c>
      <c r="G346" s="127" t="s">
        <v>70</v>
      </c>
      <c r="H346" s="128" t="s">
        <v>66</v>
      </c>
      <c r="I346" s="128" t="s">
        <v>67</v>
      </c>
      <c r="J346" s="128" t="s">
        <v>68</v>
      </c>
      <c r="K346" s="128" t="s">
        <v>71</v>
      </c>
      <c r="L346" s="128" t="s">
        <v>66</v>
      </c>
      <c r="M346" s="128" t="s">
        <v>67</v>
      </c>
      <c r="N346" s="128" t="s">
        <v>68</v>
      </c>
      <c r="O346" s="128" t="s">
        <v>72</v>
      </c>
    </row>
    <row r="347" spans="1:15" s="131" customFormat="1" ht="14.25" customHeight="1" x14ac:dyDescent="0.25">
      <c r="A347" s="129">
        <v>1</v>
      </c>
      <c r="B347" s="129">
        <v>2</v>
      </c>
      <c r="C347" s="129">
        <v>3</v>
      </c>
      <c r="D347" s="129">
        <v>4</v>
      </c>
      <c r="E347" s="129">
        <v>5</v>
      </c>
      <c r="F347" s="129">
        <v>6</v>
      </c>
      <c r="G347" s="129">
        <v>7</v>
      </c>
      <c r="H347" s="130">
        <v>8</v>
      </c>
      <c r="I347" s="130">
        <v>9</v>
      </c>
      <c r="J347" s="130">
        <v>10</v>
      </c>
      <c r="K347" s="130">
        <v>11</v>
      </c>
      <c r="L347" s="130">
        <v>12</v>
      </c>
      <c r="M347" s="130">
        <v>13</v>
      </c>
      <c r="N347" s="130">
        <v>14</v>
      </c>
      <c r="O347" s="130">
        <v>15</v>
      </c>
    </row>
    <row r="348" spans="1:15" s="131" customFormat="1" ht="33" customHeight="1" x14ac:dyDescent="0.3">
      <c r="A348" s="129" t="s">
        <v>16</v>
      </c>
      <c r="B348" s="132" t="s">
        <v>15</v>
      </c>
      <c r="C348" s="121">
        <v>4372085</v>
      </c>
      <c r="D348" s="121">
        <v>150608</v>
      </c>
      <c r="E348" s="121">
        <v>355306</v>
      </c>
      <c r="F348" s="121">
        <v>7282</v>
      </c>
      <c r="G348" s="121">
        <v>513196</v>
      </c>
      <c r="H348" s="121">
        <v>818780</v>
      </c>
      <c r="I348" s="121">
        <v>1931633</v>
      </c>
      <c r="J348" s="121">
        <v>39589</v>
      </c>
      <c r="K348" s="122">
        <v>2790002</v>
      </c>
      <c r="L348" s="121">
        <v>313685</v>
      </c>
      <c r="M348" s="121">
        <v>740035</v>
      </c>
      <c r="N348" s="121">
        <v>15167</v>
      </c>
      <c r="O348" s="122">
        <v>1068887</v>
      </c>
    </row>
    <row r="349" spans="1:15" ht="40.5" customHeight="1" x14ac:dyDescent="0.3">
      <c r="A349" s="133" t="s">
        <v>24</v>
      </c>
      <c r="B349" s="132" t="s">
        <v>14</v>
      </c>
      <c r="C349" s="121">
        <v>350315</v>
      </c>
      <c r="D349" s="121">
        <v>21609</v>
      </c>
      <c r="E349" s="121">
        <v>19318</v>
      </c>
      <c r="F349" s="121">
        <v>0</v>
      </c>
      <c r="G349" s="121">
        <v>40927</v>
      </c>
      <c r="H349" s="121">
        <v>112773</v>
      </c>
      <c r="I349" s="121">
        <v>100818</v>
      </c>
      <c r="J349" s="121">
        <v>0</v>
      </c>
      <c r="K349" s="122">
        <v>213591</v>
      </c>
      <c r="L349" s="121">
        <v>50579</v>
      </c>
      <c r="M349" s="121">
        <v>45218</v>
      </c>
      <c r="N349" s="121">
        <v>0</v>
      </c>
      <c r="O349" s="122">
        <v>95797</v>
      </c>
    </row>
    <row r="350" spans="1:15" ht="34.5" customHeight="1" x14ac:dyDescent="0.3">
      <c r="A350" s="133" t="s">
        <v>24</v>
      </c>
      <c r="B350" s="132" t="s">
        <v>13</v>
      </c>
      <c r="C350" s="121">
        <v>1759199</v>
      </c>
      <c r="D350" s="121">
        <v>0</v>
      </c>
      <c r="E350" s="121">
        <v>159295</v>
      </c>
      <c r="F350" s="121">
        <v>0</v>
      </c>
      <c r="G350" s="121">
        <v>159295</v>
      </c>
      <c r="H350" s="121">
        <v>0</v>
      </c>
      <c r="I350" s="121">
        <v>1208922</v>
      </c>
      <c r="J350" s="121">
        <v>0</v>
      </c>
      <c r="K350" s="122">
        <v>1208922</v>
      </c>
      <c r="L350" s="121">
        <v>0</v>
      </c>
      <c r="M350" s="121">
        <v>390982</v>
      </c>
      <c r="N350" s="121">
        <v>0</v>
      </c>
      <c r="O350" s="122">
        <v>390982</v>
      </c>
    </row>
    <row r="351" spans="1:15" ht="40.5" customHeight="1" x14ac:dyDescent="0.3">
      <c r="A351" s="133" t="s">
        <v>22</v>
      </c>
      <c r="B351" s="132" t="s">
        <v>12</v>
      </c>
      <c r="C351" s="121">
        <v>255025</v>
      </c>
      <c r="D351" s="121">
        <v>26107</v>
      </c>
      <c r="E351" s="121">
        <v>0</v>
      </c>
      <c r="F351" s="121">
        <v>0</v>
      </c>
      <c r="G351" s="121">
        <v>26107</v>
      </c>
      <c r="H351" s="121">
        <v>170425</v>
      </c>
      <c r="I351" s="121">
        <v>0</v>
      </c>
      <c r="J351" s="121">
        <v>0</v>
      </c>
      <c r="K351" s="122">
        <v>170425</v>
      </c>
      <c r="L351" s="121">
        <v>58493</v>
      </c>
      <c r="M351" s="121">
        <v>0</v>
      </c>
      <c r="N351" s="121">
        <v>0</v>
      </c>
      <c r="O351" s="122">
        <v>58493</v>
      </c>
    </row>
    <row r="352" spans="1:15" ht="48" customHeight="1" x14ac:dyDescent="0.3">
      <c r="A352" s="133" t="s">
        <v>23</v>
      </c>
      <c r="B352" s="132" t="s">
        <v>11</v>
      </c>
      <c r="C352" s="121">
        <v>309880</v>
      </c>
      <c r="D352" s="121">
        <v>11042</v>
      </c>
      <c r="E352" s="121">
        <v>14471</v>
      </c>
      <c r="F352" s="121">
        <v>3659</v>
      </c>
      <c r="G352" s="121">
        <v>29172</v>
      </c>
      <c r="H352" s="121">
        <v>78348</v>
      </c>
      <c r="I352" s="121">
        <v>102675</v>
      </c>
      <c r="J352" s="121">
        <v>25962</v>
      </c>
      <c r="K352" s="122">
        <v>206985</v>
      </c>
      <c r="L352" s="121">
        <v>27906</v>
      </c>
      <c r="M352" s="121">
        <v>36570</v>
      </c>
      <c r="N352" s="121">
        <v>9247</v>
      </c>
      <c r="O352" s="122">
        <v>73723</v>
      </c>
    </row>
    <row r="353" spans="1:15" ht="28.5" customHeight="1" x14ac:dyDescent="0.3">
      <c r="A353" s="133" t="s">
        <v>20</v>
      </c>
      <c r="B353" s="132" t="s">
        <v>34</v>
      </c>
      <c r="C353" s="121">
        <v>350659</v>
      </c>
      <c r="D353" s="121">
        <v>39951</v>
      </c>
      <c r="E353" s="121">
        <v>0</v>
      </c>
      <c r="F353" s="121">
        <v>0</v>
      </c>
      <c r="G353" s="121">
        <v>39951</v>
      </c>
      <c r="H353" s="121">
        <v>208498</v>
      </c>
      <c r="I353" s="121">
        <v>0</v>
      </c>
      <c r="J353" s="121">
        <v>0</v>
      </c>
      <c r="K353" s="122">
        <v>208498</v>
      </c>
      <c r="L353" s="121">
        <v>102210</v>
      </c>
      <c r="M353" s="121">
        <v>0</v>
      </c>
      <c r="N353" s="121">
        <v>0</v>
      </c>
      <c r="O353" s="122">
        <v>102210</v>
      </c>
    </row>
    <row r="354" spans="1:15" ht="34.5" customHeight="1" x14ac:dyDescent="0.3">
      <c r="A354" s="133" t="s">
        <v>22</v>
      </c>
      <c r="B354" s="132" t="s">
        <v>10</v>
      </c>
      <c r="C354" s="121">
        <v>1080196</v>
      </c>
      <c r="D354" s="121">
        <v>33715</v>
      </c>
      <c r="E354" s="121">
        <v>45550</v>
      </c>
      <c r="F354" s="121">
        <v>2440</v>
      </c>
      <c r="G354" s="121">
        <v>81705</v>
      </c>
      <c r="H354" s="121">
        <v>306085</v>
      </c>
      <c r="I354" s="121">
        <v>413524</v>
      </c>
      <c r="J354" s="121">
        <v>22162</v>
      </c>
      <c r="K354" s="122">
        <v>741771</v>
      </c>
      <c r="L354" s="121">
        <v>105933</v>
      </c>
      <c r="M354" s="121">
        <v>143117</v>
      </c>
      <c r="N354" s="121">
        <v>7670</v>
      </c>
      <c r="O354" s="122">
        <v>256720</v>
      </c>
    </row>
    <row r="355" spans="1:15" ht="25.5" customHeight="1" x14ac:dyDescent="0.3">
      <c r="A355" s="133" t="s">
        <v>21</v>
      </c>
      <c r="B355" s="132" t="s">
        <v>9</v>
      </c>
      <c r="C355" s="121">
        <v>630701</v>
      </c>
      <c r="D355" s="121">
        <v>119700</v>
      </c>
      <c r="E355" s="121">
        <v>76151</v>
      </c>
      <c r="F355" s="121">
        <v>2972</v>
      </c>
      <c r="G355" s="121">
        <v>198823</v>
      </c>
      <c r="H355" s="121">
        <v>256638</v>
      </c>
      <c r="I355" s="121">
        <v>163268</v>
      </c>
      <c r="J355" s="121">
        <v>6373</v>
      </c>
      <c r="K355" s="122">
        <v>426279</v>
      </c>
      <c r="L355" s="121">
        <v>3422</v>
      </c>
      <c r="M355" s="121">
        <v>2177</v>
      </c>
      <c r="N355" s="121">
        <v>0</v>
      </c>
      <c r="O355" s="122">
        <v>5599</v>
      </c>
    </row>
    <row r="356" spans="1:15" s="125" customFormat="1" ht="25.5" customHeight="1" x14ac:dyDescent="0.3">
      <c r="A356" s="141" t="s">
        <v>25</v>
      </c>
      <c r="B356" s="142" t="s">
        <v>8</v>
      </c>
      <c r="C356" s="121">
        <v>1304753</v>
      </c>
      <c r="D356" s="121">
        <v>8477</v>
      </c>
      <c r="E356" s="121">
        <v>29283</v>
      </c>
      <c r="F356" s="121">
        <v>0</v>
      </c>
      <c r="G356" s="122">
        <v>37760</v>
      </c>
      <c r="H356" s="121">
        <v>164203</v>
      </c>
      <c r="I356" s="121">
        <v>567228</v>
      </c>
      <c r="J356" s="121">
        <v>0</v>
      </c>
      <c r="K356" s="122">
        <v>731431</v>
      </c>
      <c r="L356" s="121">
        <v>120231</v>
      </c>
      <c r="M356" s="121">
        <v>415331</v>
      </c>
      <c r="N356" s="121">
        <v>0</v>
      </c>
      <c r="O356" s="122">
        <v>535562</v>
      </c>
    </row>
    <row r="357" spans="1:15" ht="25.5" customHeight="1" x14ac:dyDescent="0.3">
      <c r="A357" s="133" t="s">
        <v>26</v>
      </c>
      <c r="B357" s="132" t="s">
        <v>7</v>
      </c>
      <c r="C357" s="121">
        <v>5906490</v>
      </c>
      <c r="D357" s="121">
        <v>11637</v>
      </c>
      <c r="E357" s="121">
        <v>52034</v>
      </c>
      <c r="F357" s="121">
        <v>0</v>
      </c>
      <c r="G357" s="121">
        <v>63671</v>
      </c>
      <c r="H357" s="121">
        <v>1023968</v>
      </c>
      <c r="I357" s="121">
        <v>4578456</v>
      </c>
      <c r="J357" s="121">
        <v>0</v>
      </c>
      <c r="K357" s="122">
        <v>5602424</v>
      </c>
      <c r="L357" s="121">
        <v>43938</v>
      </c>
      <c r="M357" s="121">
        <v>196457</v>
      </c>
      <c r="N357" s="121">
        <v>0</v>
      </c>
      <c r="O357" s="122">
        <v>240395</v>
      </c>
    </row>
    <row r="358" spans="1:15" ht="25.5" customHeight="1" x14ac:dyDescent="0.3">
      <c r="A358" s="133" t="s">
        <v>20</v>
      </c>
      <c r="B358" s="132" t="s">
        <v>6</v>
      </c>
      <c r="C358" s="121">
        <v>959593</v>
      </c>
      <c r="D358" s="121">
        <v>1320</v>
      </c>
      <c r="E358" s="121">
        <v>1000</v>
      </c>
      <c r="F358" s="121">
        <v>0</v>
      </c>
      <c r="G358" s="121">
        <v>2320</v>
      </c>
      <c r="H358" s="121">
        <v>523777</v>
      </c>
      <c r="I358" s="121">
        <v>396484</v>
      </c>
      <c r="J358" s="121">
        <v>37012</v>
      </c>
      <c r="K358" s="122">
        <v>957273</v>
      </c>
      <c r="L358" s="121">
        <v>0</v>
      </c>
      <c r="M358" s="121">
        <v>0</v>
      </c>
      <c r="N358" s="121">
        <v>0</v>
      </c>
      <c r="O358" s="122">
        <v>0</v>
      </c>
    </row>
    <row r="359" spans="1:15" ht="25.5" customHeight="1" x14ac:dyDescent="0.3">
      <c r="A359" s="133" t="s">
        <v>19</v>
      </c>
      <c r="B359" s="132" t="s">
        <v>5</v>
      </c>
      <c r="C359" s="121">
        <v>1003463</v>
      </c>
      <c r="D359" s="121">
        <v>82961</v>
      </c>
      <c r="E359" s="121">
        <v>54938</v>
      </c>
      <c r="F359" s="121">
        <v>9452</v>
      </c>
      <c r="G359" s="121">
        <v>147351</v>
      </c>
      <c r="H359" s="121">
        <v>476253</v>
      </c>
      <c r="I359" s="121">
        <v>315385</v>
      </c>
      <c r="J359" s="121">
        <v>54259</v>
      </c>
      <c r="K359" s="122">
        <v>845897</v>
      </c>
      <c r="L359" s="121">
        <v>6145</v>
      </c>
      <c r="M359" s="121">
        <v>4070</v>
      </c>
      <c r="N359" s="121">
        <v>0</v>
      </c>
      <c r="O359" s="122">
        <v>10215</v>
      </c>
    </row>
    <row r="360" spans="1:15" ht="25.5" customHeight="1" x14ac:dyDescent="0.3">
      <c r="A360" s="133" t="s">
        <v>18</v>
      </c>
      <c r="B360" s="132" t="s">
        <v>4</v>
      </c>
      <c r="C360" s="121">
        <v>833318</v>
      </c>
      <c r="D360" s="121">
        <v>14712</v>
      </c>
      <c r="E360" s="121">
        <v>18337</v>
      </c>
      <c r="F360" s="121">
        <v>0</v>
      </c>
      <c r="G360" s="121">
        <v>33049</v>
      </c>
      <c r="H360" s="121">
        <v>354092</v>
      </c>
      <c r="I360" s="121">
        <v>441360</v>
      </c>
      <c r="J360" s="121">
        <v>0</v>
      </c>
      <c r="K360" s="122">
        <v>795452</v>
      </c>
      <c r="L360" s="121">
        <v>2144</v>
      </c>
      <c r="M360" s="121">
        <v>2673</v>
      </c>
      <c r="N360" s="121">
        <v>0</v>
      </c>
      <c r="O360" s="122">
        <v>4817</v>
      </c>
    </row>
    <row r="361" spans="1:15" ht="25.5" customHeight="1" x14ac:dyDescent="0.3">
      <c r="A361" s="133" t="s">
        <v>25</v>
      </c>
      <c r="B361" s="132" t="s">
        <v>3</v>
      </c>
      <c r="C361" s="121">
        <v>1127794</v>
      </c>
      <c r="D361" s="121">
        <v>40591</v>
      </c>
      <c r="E361" s="121">
        <v>19950</v>
      </c>
      <c r="F361" s="121">
        <v>1870</v>
      </c>
      <c r="G361" s="121">
        <v>62411</v>
      </c>
      <c r="H361" s="121">
        <v>544266</v>
      </c>
      <c r="I361" s="121">
        <v>267503</v>
      </c>
      <c r="J361" s="121">
        <v>25077</v>
      </c>
      <c r="K361" s="122">
        <v>836846</v>
      </c>
      <c r="L361" s="121">
        <v>148635</v>
      </c>
      <c r="M361" s="121">
        <v>73053</v>
      </c>
      <c r="N361" s="121">
        <v>6849</v>
      </c>
      <c r="O361" s="122">
        <v>228537</v>
      </c>
    </row>
    <row r="362" spans="1:15" ht="93.75" customHeight="1" x14ac:dyDescent="0.3">
      <c r="A362" s="133" t="s">
        <v>30</v>
      </c>
      <c r="B362" s="132" t="s">
        <v>130</v>
      </c>
      <c r="C362" s="121">
        <v>114599</v>
      </c>
      <c r="D362" s="121">
        <v>3346</v>
      </c>
      <c r="E362" s="121">
        <v>0</v>
      </c>
      <c r="F362" s="121">
        <v>0</v>
      </c>
      <c r="G362" s="121">
        <v>3346</v>
      </c>
      <c r="H362" s="121">
        <v>103172</v>
      </c>
      <c r="I362" s="121">
        <v>0</v>
      </c>
      <c r="J362" s="121">
        <v>0</v>
      </c>
      <c r="K362" s="122">
        <v>103172</v>
      </c>
      <c r="L362" s="121">
        <v>8081</v>
      </c>
      <c r="M362" s="121">
        <v>0</v>
      </c>
      <c r="N362" s="121">
        <v>0</v>
      </c>
      <c r="O362" s="122">
        <v>8081</v>
      </c>
    </row>
    <row r="363" spans="1:15" ht="94.5" customHeight="1" x14ac:dyDescent="0.3">
      <c r="A363" s="133" t="s">
        <v>31</v>
      </c>
      <c r="B363" s="132" t="s">
        <v>131</v>
      </c>
      <c r="C363" s="121">
        <v>86746</v>
      </c>
      <c r="D363" s="121">
        <v>6337</v>
      </c>
      <c r="E363" s="121">
        <v>0</v>
      </c>
      <c r="F363" s="121">
        <v>0</v>
      </c>
      <c r="G363" s="121">
        <v>6337</v>
      </c>
      <c r="H363" s="121">
        <v>77714</v>
      </c>
      <c r="I363" s="121">
        <v>0</v>
      </c>
      <c r="J363" s="121">
        <v>0</v>
      </c>
      <c r="K363" s="122">
        <v>77714</v>
      </c>
      <c r="L363" s="121">
        <v>2695</v>
      </c>
      <c r="M363" s="121">
        <v>0</v>
      </c>
      <c r="N363" s="121">
        <v>0</v>
      </c>
      <c r="O363" s="122">
        <v>2695</v>
      </c>
    </row>
    <row r="364" spans="1:15" ht="33" customHeight="1" x14ac:dyDescent="0.3">
      <c r="A364" s="133" t="s">
        <v>32</v>
      </c>
      <c r="B364" s="132" t="s">
        <v>73</v>
      </c>
      <c r="C364" s="121">
        <v>39188</v>
      </c>
      <c r="D364" s="121">
        <v>5468</v>
      </c>
      <c r="E364" s="121">
        <v>0</v>
      </c>
      <c r="F364" s="121">
        <v>0</v>
      </c>
      <c r="G364" s="121">
        <v>5468</v>
      </c>
      <c r="H364" s="121">
        <v>19567</v>
      </c>
      <c r="I364" s="121">
        <v>0</v>
      </c>
      <c r="J364" s="121">
        <v>0</v>
      </c>
      <c r="K364" s="122">
        <v>19567</v>
      </c>
      <c r="L364" s="121">
        <v>14153</v>
      </c>
      <c r="M364" s="121">
        <v>0</v>
      </c>
      <c r="N364" s="121">
        <v>0</v>
      </c>
      <c r="O364" s="122">
        <v>14153</v>
      </c>
    </row>
    <row r="365" spans="1:15" ht="33" customHeight="1" x14ac:dyDescent="0.3">
      <c r="A365" s="133" t="s">
        <v>90</v>
      </c>
      <c r="B365" s="132" t="s">
        <v>132</v>
      </c>
      <c r="C365" s="121">
        <v>29573</v>
      </c>
      <c r="D365" s="121">
        <v>0</v>
      </c>
      <c r="E365" s="121">
        <v>3324</v>
      </c>
      <c r="F365" s="121">
        <v>0</v>
      </c>
      <c r="G365" s="121">
        <v>3324</v>
      </c>
      <c r="H365" s="121">
        <v>0</v>
      </c>
      <c r="I365" s="121">
        <v>17480</v>
      </c>
      <c r="J365" s="121">
        <v>0</v>
      </c>
      <c r="K365" s="122">
        <v>17480</v>
      </c>
      <c r="L365" s="121">
        <v>0</v>
      </c>
      <c r="M365" s="121">
        <v>8769</v>
      </c>
      <c r="N365" s="121">
        <v>0</v>
      </c>
      <c r="O365" s="122">
        <v>8769</v>
      </c>
    </row>
    <row r="366" spans="1:15" ht="25.5" customHeight="1" x14ac:dyDescent="0.25">
      <c r="A366" s="134"/>
      <c r="B366" s="134" t="s">
        <v>0</v>
      </c>
      <c r="C366" s="135">
        <v>20513577</v>
      </c>
      <c r="D366" s="135">
        <v>577581</v>
      </c>
      <c r="E366" s="135">
        <v>848957</v>
      </c>
      <c r="F366" s="135">
        <v>27675</v>
      </c>
      <c r="G366" s="135">
        <v>1454213</v>
      </c>
      <c r="H366" s="135">
        <v>5238559</v>
      </c>
      <c r="I366" s="135">
        <v>10504736</v>
      </c>
      <c r="J366" s="135">
        <v>210434</v>
      </c>
      <c r="K366" s="135">
        <v>15953729</v>
      </c>
      <c r="L366" s="135">
        <v>1008250</v>
      </c>
      <c r="M366" s="135">
        <v>2058452</v>
      </c>
      <c r="N366" s="135">
        <v>38933</v>
      </c>
      <c r="O366" s="135">
        <v>3105635</v>
      </c>
    </row>
    <row r="368" spans="1:15" ht="15.75" x14ac:dyDescent="0.25">
      <c r="A368" s="150" t="s">
        <v>112</v>
      </c>
      <c r="B368" s="150"/>
      <c r="C368" s="150"/>
      <c r="D368" s="150"/>
      <c r="E368" s="150"/>
      <c r="F368" s="150"/>
      <c r="G368" s="150"/>
      <c r="H368" s="150"/>
      <c r="I368" s="150"/>
      <c r="J368" s="150"/>
      <c r="K368" s="150"/>
      <c r="L368" s="150"/>
      <c r="M368" s="150"/>
      <c r="N368" s="150"/>
      <c r="O368" s="150"/>
    </row>
    <row r="369" spans="1:15" ht="15.75" x14ac:dyDescent="0.25">
      <c r="A369" s="136"/>
      <c r="B369" s="136"/>
      <c r="C369" s="136"/>
      <c r="D369" s="136"/>
      <c r="E369" s="136"/>
      <c r="F369" s="136"/>
      <c r="G369" s="136"/>
      <c r="H369" s="136"/>
      <c r="I369" s="136"/>
      <c r="J369" s="136"/>
      <c r="K369" s="136"/>
      <c r="L369" s="136"/>
      <c r="M369" s="136"/>
      <c r="N369" s="136"/>
      <c r="O369" s="136"/>
    </row>
    <row r="370" spans="1:15" s="126" customFormat="1" ht="28.5" customHeight="1" x14ac:dyDescent="0.25">
      <c r="A370" s="144" t="s">
        <v>17</v>
      </c>
      <c r="B370" s="144" t="s">
        <v>33</v>
      </c>
      <c r="C370" s="144" t="s">
        <v>126</v>
      </c>
      <c r="D370" s="144" t="s">
        <v>69</v>
      </c>
      <c r="E370" s="144"/>
      <c r="F370" s="144"/>
      <c r="G370" s="144"/>
      <c r="H370" s="144"/>
      <c r="I370" s="144"/>
      <c r="J370" s="144"/>
      <c r="K370" s="144"/>
      <c r="L370" s="144"/>
      <c r="M370" s="144"/>
      <c r="N370" s="144"/>
      <c r="O370" s="144"/>
    </row>
    <row r="371" spans="1:15" s="126" customFormat="1" ht="41.25" customHeight="1" x14ac:dyDescent="0.25">
      <c r="A371" s="144"/>
      <c r="B371" s="144"/>
      <c r="C371" s="144"/>
      <c r="D371" s="146" t="s">
        <v>36</v>
      </c>
      <c r="E371" s="146"/>
      <c r="F371" s="146"/>
      <c r="G371" s="146"/>
      <c r="H371" s="147" t="s">
        <v>37</v>
      </c>
      <c r="I371" s="148"/>
      <c r="J371" s="148"/>
      <c r="K371" s="149"/>
      <c r="L371" s="147" t="s">
        <v>38</v>
      </c>
      <c r="M371" s="148"/>
      <c r="N371" s="148"/>
      <c r="O371" s="149"/>
    </row>
    <row r="372" spans="1:15" s="126" customFormat="1" ht="59.25" customHeight="1" x14ac:dyDescent="0.25">
      <c r="A372" s="144"/>
      <c r="B372" s="144"/>
      <c r="C372" s="144"/>
      <c r="D372" s="127" t="s">
        <v>66</v>
      </c>
      <c r="E372" s="127" t="s">
        <v>67</v>
      </c>
      <c r="F372" s="127" t="s">
        <v>68</v>
      </c>
      <c r="G372" s="127" t="s">
        <v>70</v>
      </c>
      <c r="H372" s="128" t="s">
        <v>66</v>
      </c>
      <c r="I372" s="128" t="s">
        <v>67</v>
      </c>
      <c r="J372" s="128" t="s">
        <v>68</v>
      </c>
      <c r="K372" s="128" t="s">
        <v>71</v>
      </c>
      <c r="L372" s="128" t="s">
        <v>66</v>
      </c>
      <c r="M372" s="128" t="s">
        <v>67</v>
      </c>
      <c r="N372" s="128" t="s">
        <v>68</v>
      </c>
      <c r="O372" s="128" t="s">
        <v>72</v>
      </c>
    </row>
    <row r="373" spans="1:15" s="131" customFormat="1" ht="14.25" customHeight="1" x14ac:dyDescent="0.25">
      <c r="A373" s="129">
        <v>1</v>
      </c>
      <c r="B373" s="129">
        <v>2</v>
      </c>
      <c r="C373" s="129">
        <v>3</v>
      </c>
      <c r="D373" s="129">
        <v>4</v>
      </c>
      <c r="E373" s="129">
        <v>5</v>
      </c>
      <c r="F373" s="129">
        <v>6</v>
      </c>
      <c r="G373" s="129">
        <v>7</v>
      </c>
      <c r="H373" s="130">
        <v>8</v>
      </c>
      <c r="I373" s="130">
        <v>9</v>
      </c>
      <c r="J373" s="130">
        <v>10</v>
      </c>
      <c r="K373" s="130">
        <v>11</v>
      </c>
      <c r="L373" s="130">
        <v>12</v>
      </c>
      <c r="M373" s="130">
        <v>13</v>
      </c>
      <c r="N373" s="130">
        <v>14</v>
      </c>
      <c r="O373" s="130">
        <v>15</v>
      </c>
    </row>
    <row r="374" spans="1:15" s="131" customFormat="1" ht="28.5" customHeight="1" x14ac:dyDescent="0.3">
      <c r="A374" s="129" t="s">
        <v>16</v>
      </c>
      <c r="B374" s="132" t="s">
        <v>15</v>
      </c>
      <c r="C374" s="121">
        <v>4923935</v>
      </c>
      <c r="D374" s="121">
        <v>168650</v>
      </c>
      <c r="E374" s="121">
        <v>401464</v>
      </c>
      <c r="F374" s="121">
        <v>7858</v>
      </c>
      <c r="G374" s="121">
        <v>577972</v>
      </c>
      <c r="H374" s="121">
        <v>916869</v>
      </c>
      <c r="I374" s="121">
        <v>2182569</v>
      </c>
      <c r="J374" s="121">
        <v>42723</v>
      </c>
      <c r="K374" s="122">
        <v>3142161</v>
      </c>
      <c r="L374" s="121">
        <v>351265</v>
      </c>
      <c r="M374" s="121">
        <v>836170</v>
      </c>
      <c r="N374" s="121">
        <v>16367</v>
      </c>
      <c r="O374" s="122">
        <v>1203802</v>
      </c>
    </row>
    <row r="375" spans="1:15" ht="40.5" customHeight="1" x14ac:dyDescent="0.3">
      <c r="A375" s="133" t="s">
        <v>24</v>
      </c>
      <c r="B375" s="132" t="s">
        <v>14</v>
      </c>
      <c r="C375" s="121">
        <v>328487</v>
      </c>
      <c r="D375" s="121">
        <v>21615</v>
      </c>
      <c r="E375" s="121">
        <v>16762</v>
      </c>
      <c r="F375" s="121">
        <v>0</v>
      </c>
      <c r="G375" s="121">
        <v>38377</v>
      </c>
      <c r="H375" s="121">
        <v>112801</v>
      </c>
      <c r="I375" s="121">
        <v>87481</v>
      </c>
      <c r="J375" s="121">
        <v>0</v>
      </c>
      <c r="K375" s="122">
        <v>200282</v>
      </c>
      <c r="L375" s="121">
        <v>50592</v>
      </c>
      <c r="M375" s="121">
        <v>39236</v>
      </c>
      <c r="N375" s="121">
        <v>0</v>
      </c>
      <c r="O375" s="122">
        <v>89828</v>
      </c>
    </row>
    <row r="376" spans="1:15" ht="34.5" customHeight="1" x14ac:dyDescent="0.3">
      <c r="A376" s="133" t="s">
        <v>24</v>
      </c>
      <c r="B376" s="132" t="s">
        <v>13</v>
      </c>
      <c r="C376" s="121">
        <v>2244563</v>
      </c>
      <c r="D376" s="121">
        <v>0</v>
      </c>
      <c r="E376" s="121">
        <v>203245</v>
      </c>
      <c r="F376" s="121">
        <v>0</v>
      </c>
      <c r="G376" s="121">
        <v>203245</v>
      </c>
      <c r="H376" s="121">
        <v>0</v>
      </c>
      <c r="I376" s="121">
        <v>1542464</v>
      </c>
      <c r="J376" s="121">
        <v>0</v>
      </c>
      <c r="K376" s="122">
        <v>1542464</v>
      </c>
      <c r="L376" s="121">
        <v>0</v>
      </c>
      <c r="M376" s="121">
        <v>498854</v>
      </c>
      <c r="N376" s="121">
        <v>0</v>
      </c>
      <c r="O376" s="122">
        <v>498854</v>
      </c>
    </row>
    <row r="377" spans="1:15" ht="40.5" customHeight="1" x14ac:dyDescent="0.3">
      <c r="A377" s="133" t="s">
        <v>22</v>
      </c>
      <c r="B377" s="132" t="s">
        <v>12</v>
      </c>
      <c r="C377" s="121">
        <v>260193</v>
      </c>
      <c r="D377" s="121">
        <v>26636</v>
      </c>
      <c r="E377" s="121">
        <v>0</v>
      </c>
      <c r="F377" s="121">
        <v>0</v>
      </c>
      <c r="G377" s="121">
        <v>26636</v>
      </c>
      <c r="H377" s="121">
        <v>173879</v>
      </c>
      <c r="I377" s="121">
        <v>0</v>
      </c>
      <c r="J377" s="121">
        <v>0</v>
      </c>
      <c r="K377" s="122">
        <v>173879</v>
      </c>
      <c r="L377" s="121">
        <v>59678</v>
      </c>
      <c r="M377" s="121">
        <v>0</v>
      </c>
      <c r="N377" s="121">
        <v>0</v>
      </c>
      <c r="O377" s="122">
        <v>59678</v>
      </c>
    </row>
    <row r="378" spans="1:15" ht="45" customHeight="1" x14ac:dyDescent="0.3">
      <c r="A378" s="133" t="s">
        <v>23</v>
      </c>
      <c r="B378" s="132" t="s">
        <v>11</v>
      </c>
      <c r="C378" s="121">
        <v>287357</v>
      </c>
      <c r="D378" s="121">
        <v>10846</v>
      </c>
      <c r="E378" s="121">
        <v>12935</v>
      </c>
      <c r="F378" s="121">
        <v>3271</v>
      </c>
      <c r="G378" s="121">
        <v>27052</v>
      </c>
      <c r="H378" s="121">
        <v>76953</v>
      </c>
      <c r="I378" s="121">
        <v>91780</v>
      </c>
      <c r="J378" s="121">
        <v>23208</v>
      </c>
      <c r="K378" s="122">
        <v>191941</v>
      </c>
      <c r="L378" s="121">
        <v>27409</v>
      </c>
      <c r="M378" s="121">
        <v>32690</v>
      </c>
      <c r="N378" s="121">
        <v>8265</v>
      </c>
      <c r="O378" s="122">
        <v>68364</v>
      </c>
    </row>
    <row r="379" spans="1:15" ht="28.5" customHeight="1" x14ac:dyDescent="0.3">
      <c r="A379" s="133" t="s">
        <v>20</v>
      </c>
      <c r="B379" s="132" t="s">
        <v>34</v>
      </c>
      <c r="C379" s="121">
        <v>238000</v>
      </c>
      <c r="D379" s="121">
        <v>27114</v>
      </c>
      <c r="E379" s="121">
        <v>0</v>
      </c>
      <c r="F379" s="121">
        <v>0</v>
      </c>
      <c r="G379" s="121">
        <v>27114</v>
      </c>
      <c r="H379" s="121">
        <v>141513</v>
      </c>
      <c r="I379" s="121">
        <v>0</v>
      </c>
      <c r="J379" s="121">
        <v>0</v>
      </c>
      <c r="K379" s="122">
        <v>141513</v>
      </c>
      <c r="L379" s="121">
        <v>69373</v>
      </c>
      <c r="M379" s="121">
        <v>0</v>
      </c>
      <c r="N379" s="121">
        <v>0</v>
      </c>
      <c r="O379" s="122">
        <v>69373</v>
      </c>
    </row>
    <row r="380" spans="1:15" ht="34.5" customHeight="1" x14ac:dyDescent="0.3">
      <c r="A380" s="133" t="s">
        <v>22</v>
      </c>
      <c r="B380" s="132" t="s">
        <v>10</v>
      </c>
      <c r="C380" s="121">
        <v>845978</v>
      </c>
      <c r="D380" s="121">
        <v>26871</v>
      </c>
      <c r="E380" s="121">
        <v>35215</v>
      </c>
      <c r="F380" s="121">
        <v>1905</v>
      </c>
      <c r="G380" s="121">
        <v>63991</v>
      </c>
      <c r="H380" s="121">
        <v>243943</v>
      </c>
      <c r="I380" s="121">
        <v>319697</v>
      </c>
      <c r="J380" s="121">
        <v>17293</v>
      </c>
      <c r="K380" s="122">
        <v>580933</v>
      </c>
      <c r="L380" s="121">
        <v>84426</v>
      </c>
      <c r="M380" s="121">
        <v>110644</v>
      </c>
      <c r="N380" s="121">
        <v>5984</v>
      </c>
      <c r="O380" s="122">
        <v>201054</v>
      </c>
    </row>
    <row r="381" spans="1:15" ht="25.5" customHeight="1" x14ac:dyDescent="0.3">
      <c r="A381" s="133" t="s">
        <v>21</v>
      </c>
      <c r="B381" s="132" t="s">
        <v>9</v>
      </c>
      <c r="C381" s="121">
        <v>787917</v>
      </c>
      <c r="D381" s="121">
        <v>169254</v>
      </c>
      <c r="E381" s="121">
        <v>76151</v>
      </c>
      <c r="F381" s="121">
        <v>2973</v>
      </c>
      <c r="G381" s="121">
        <v>248378</v>
      </c>
      <c r="H381" s="121">
        <v>362882</v>
      </c>
      <c r="I381" s="121">
        <v>163269</v>
      </c>
      <c r="J381" s="121">
        <v>6373</v>
      </c>
      <c r="K381" s="122">
        <v>532524</v>
      </c>
      <c r="L381" s="121">
        <v>4838</v>
      </c>
      <c r="M381" s="121">
        <v>2177</v>
      </c>
      <c r="N381" s="121">
        <v>0</v>
      </c>
      <c r="O381" s="122">
        <v>7015</v>
      </c>
    </row>
    <row r="382" spans="1:15" s="125" customFormat="1" ht="25.5" customHeight="1" x14ac:dyDescent="0.3">
      <c r="A382" s="141" t="s">
        <v>25</v>
      </c>
      <c r="B382" s="142" t="s">
        <v>8</v>
      </c>
      <c r="C382" s="121">
        <v>1556093</v>
      </c>
      <c r="D382" s="121">
        <v>8775</v>
      </c>
      <c r="E382" s="121">
        <v>36258</v>
      </c>
      <c r="F382" s="121">
        <v>0</v>
      </c>
      <c r="G382" s="122">
        <v>45033</v>
      </c>
      <c r="H382" s="121">
        <v>169986</v>
      </c>
      <c r="I382" s="121">
        <v>702343</v>
      </c>
      <c r="J382" s="121">
        <v>0</v>
      </c>
      <c r="K382" s="122">
        <v>872329</v>
      </c>
      <c r="L382" s="121">
        <v>124466</v>
      </c>
      <c r="M382" s="121">
        <v>514265</v>
      </c>
      <c r="N382" s="121">
        <v>0</v>
      </c>
      <c r="O382" s="122">
        <v>638731</v>
      </c>
    </row>
    <row r="383" spans="1:15" ht="25.5" customHeight="1" x14ac:dyDescent="0.3">
      <c r="A383" s="133" t="s">
        <v>26</v>
      </c>
      <c r="B383" s="132" t="s">
        <v>7</v>
      </c>
      <c r="C383" s="121">
        <v>7351234</v>
      </c>
      <c r="D383" s="121">
        <v>14530</v>
      </c>
      <c r="E383" s="121">
        <v>64719</v>
      </c>
      <c r="F383" s="121">
        <v>0</v>
      </c>
      <c r="G383" s="121">
        <v>79249</v>
      </c>
      <c r="H383" s="121">
        <v>1278335</v>
      </c>
      <c r="I383" s="121">
        <v>5694456</v>
      </c>
      <c r="J383" s="121">
        <v>0</v>
      </c>
      <c r="K383" s="122">
        <v>6972791</v>
      </c>
      <c r="L383" s="121">
        <v>54851</v>
      </c>
      <c r="M383" s="121">
        <v>244343</v>
      </c>
      <c r="N383" s="121">
        <v>0</v>
      </c>
      <c r="O383" s="122">
        <v>299194</v>
      </c>
    </row>
    <row r="384" spans="1:15" ht="25.5" customHeight="1" x14ac:dyDescent="0.3">
      <c r="A384" s="133" t="s">
        <v>20</v>
      </c>
      <c r="B384" s="132" t="s">
        <v>6</v>
      </c>
      <c r="C384" s="121">
        <v>1188163</v>
      </c>
      <c r="D384" s="121">
        <v>1661</v>
      </c>
      <c r="E384" s="121">
        <v>1198</v>
      </c>
      <c r="F384" s="121">
        <v>0</v>
      </c>
      <c r="G384" s="121">
        <v>2859</v>
      </c>
      <c r="H384" s="121">
        <v>658863</v>
      </c>
      <c r="I384" s="121">
        <v>475100</v>
      </c>
      <c r="J384" s="121">
        <v>50289</v>
      </c>
      <c r="K384" s="121">
        <v>1184252</v>
      </c>
      <c r="L384" s="121">
        <v>1052</v>
      </c>
      <c r="M384" s="121">
        <v>0</v>
      </c>
      <c r="N384" s="121">
        <v>0</v>
      </c>
      <c r="O384" s="121">
        <v>1052</v>
      </c>
    </row>
    <row r="385" spans="1:15" ht="25.5" customHeight="1" x14ac:dyDescent="0.3">
      <c r="A385" s="133" t="s">
        <v>19</v>
      </c>
      <c r="B385" s="132" t="s">
        <v>5</v>
      </c>
      <c r="C385" s="121">
        <v>1278459</v>
      </c>
      <c r="D385" s="121">
        <v>74640</v>
      </c>
      <c r="E385" s="121">
        <v>110035</v>
      </c>
      <c r="F385" s="121">
        <v>2959</v>
      </c>
      <c r="G385" s="121">
        <v>187634</v>
      </c>
      <c r="H385" s="121">
        <v>428485</v>
      </c>
      <c r="I385" s="121">
        <v>631678</v>
      </c>
      <c r="J385" s="121">
        <v>16982</v>
      </c>
      <c r="K385" s="122">
        <v>1077145</v>
      </c>
      <c r="L385" s="121">
        <v>5529</v>
      </c>
      <c r="M385" s="121">
        <v>8151</v>
      </c>
      <c r="N385" s="121">
        <v>0</v>
      </c>
      <c r="O385" s="122">
        <v>13680</v>
      </c>
    </row>
    <row r="386" spans="1:15" ht="25.5" customHeight="1" x14ac:dyDescent="0.3">
      <c r="A386" s="133" t="s">
        <v>18</v>
      </c>
      <c r="B386" s="132" t="s">
        <v>4</v>
      </c>
      <c r="C386" s="121">
        <v>1045718</v>
      </c>
      <c r="D386" s="121">
        <v>18461</v>
      </c>
      <c r="E386" s="121">
        <v>23011</v>
      </c>
      <c r="F386" s="121">
        <v>0</v>
      </c>
      <c r="G386" s="121">
        <v>41472</v>
      </c>
      <c r="H386" s="121">
        <v>444345</v>
      </c>
      <c r="I386" s="121">
        <v>553855</v>
      </c>
      <c r="J386" s="121">
        <v>0</v>
      </c>
      <c r="K386" s="122">
        <v>998200</v>
      </c>
      <c r="L386" s="121">
        <v>2691</v>
      </c>
      <c r="M386" s="121">
        <v>3355</v>
      </c>
      <c r="N386" s="121">
        <v>0</v>
      </c>
      <c r="O386" s="122">
        <v>6046</v>
      </c>
    </row>
    <row r="387" spans="1:15" ht="25.5" customHeight="1" x14ac:dyDescent="0.3">
      <c r="A387" s="133" t="s">
        <v>25</v>
      </c>
      <c r="B387" s="132" t="s">
        <v>3</v>
      </c>
      <c r="C387" s="121">
        <v>1011875</v>
      </c>
      <c r="D387" s="121">
        <v>36418</v>
      </c>
      <c r="E387" s="121">
        <v>17903</v>
      </c>
      <c r="F387" s="121">
        <v>1680</v>
      </c>
      <c r="G387" s="121">
        <v>56001</v>
      </c>
      <c r="H387" s="121">
        <v>488306</v>
      </c>
      <c r="I387" s="121">
        <v>240022</v>
      </c>
      <c r="J387" s="121">
        <v>22501</v>
      </c>
      <c r="K387" s="122">
        <v>750829</v>
      </c>
      <c r="L387" s="121">
        <v>133353</v>
      </c>
      <c r="M387" s="121">
        <v>65548</v>
      </c>
      <c r="N387" s="121">
        <v>6144</v>
      </c>
      <c r="O387" s="122">
        <v>205045</v>
      </c>
    </row>
    <row r="388" spans="1:15" ht="101.25" customHeight="1" x14ac:dyDescent="0.3">
      <c r="A388" s="133" t="s">
        <v>30</v>
      </c>
      <c r="B388" s="132" t="s">
        <v>130</v>
      </c>
      <c r="C388" s="121">
        <v>114572</v>
      </c>
      <c r="D388" s="121">
        <v>3345</v>
      </c>
      <c r="E388" s="121">
        <v>0</v>
      </c>
      <c r="F388" s="121">
        <v>0</v>
      </c>
      <c r="G388" s="121">
        <v>3345</v>
      </c>
      <c r="H388" s="121">
        <v>103147</v>
      </c>
      <c r="I388" s="121">
        <v>0</v>
      </c>
      <c r="J388" s="121">
        <v>0</v>
      </c>
      <c r="K388" s="122">
        <v>103147</v>
      </c>
      <c r="L388" s="121">
        <v>8080</v>
      </c>
      <c r="M388" s="121">
        <v>0</v>
      </c>
      <c r="N388" s="121">
        <v>0</v>
      </c>
      <c r="O388" s="122">
        <v>8080</v>
      </c>
    </row>
    <row r="389" spans="1:15" ht="94.5" customHeight="1" x14ac:dyDescent="0.3">
      <c r="A389" s="133" t="s">
        <v>31</v>
      </c>
      <c r="B389" s="132" t="s">
        <v>131</v>
      </c>
      <c r="C389" s="121">
        <v>129334</v>
      </c>
      <c r="D389" s="121">
        <v>9447</v>
      </c>
      <c r="E389" s="121">
        <v>0</v>
      </c>
      <c r="F389" s="121">
        <v>0</v>
      </c>
      <c r="G389" s="121">
        <v>9447</v>
      </c>
      <c r="H389" s="121">
        <v>115867</v>
      </c>
      <c r="I389" s="121">
        <v>0</v>
      </c>
      <c r="J389" s="121">
        <v>0</v>
      </c>
      <c r="K389" s="122">
        <v>115867</v>
      </c>
      <c r="L389" s="121">
        <v>4020</v>
      </c>
      <c r="M389" s="121">
        <v>0</v>
      </c>
      <c r="N389" s="121">
        <v>0</v>
      </c>
      <c r="O389" s="122">
        <v>4020</v>
      </c>
    </row>
    <row r="390" spans="1:15" ht="33" customHeight="1" x14ac:dyDescent="0.3">
      <c r="A390" s="133" t="s">
        <v>32</v>
      </c>
      <c r="B390" s="132" t="s">
        <v>73</v>
      </c>
      <c r="C390" s="121">
        <v>38878</v>
      </c>
      <c r="D390" s="121">
        <v>5425</v>
      </c>
      <c r="E390" s="121">
        <v>0</v>
      </c>
      <c r="F390" s="121">
        <v>0</v>
      </c>
      <c r="G390" s="121">
        <v>5425</v>
      </c>
      <c r="H390" s="121">
        <v>19412</v>
      </c>
      <c r="I390" s="121">
        <v>0</v>
      </c>
      <c r="J390" s="121">
        <v>0</v>
      </c>
      <c r="K390" s="122">
        <v>19412</v>
      </c>
      <c r="L390" s="121">
        <v>14041</v>
      </c>
      <c r="M390" s="121">
        <v>0</v>
      </c>
      <c r="N390" s="121">
        <v>0</v>
      </c>
      <c r="O390" s="122">
        <v>14041</v>
      </c>
    </row>
    <row r="391" spans="1:15" ht="33" customHeight="1" x14ac:dyDescent="0.3">
      <c r="A391" s="133" t="s">
        <v>90</v>
      </c>
      <c r="B391" s="132" t="s">
        <v>132</v>
      </c>
      <c r="C391" s="121">
        <v>29587</v>
      </c>
      <c r="D391" s="121">
        <v>0</v>
      </c>
      <c r="E391" s="121">
        <v>3326</v>
      </c>
      <c r="F391" s="121">
        <v>0</v>
      </c>
      <c r="G391" s="121">
        <v>3326</v>
      </c>
      <c r="H391" s="121">
        <v>0</v>
      </c>
      <c r="I391" s="121">
        <v>17490</v>
      </c>
      <c r="J391" s="121">
        <v>0</v>
      </c>
      <c r="K391" s="122">
        <v>17490</v>
      </c>
      <c r="L391" s="121">
        <v>0</v>
      </c>
      <c r="M391" s="121">
        <v>8771</v>
      </c>
      <c r="N391" s="121">
        <v>0</v>
      </c>
      <c r="O391" s="122">
        <v>8771</v>
      </c>
    </row>
    <row r="392" spans="1:15" ht="25.5" customHeight="1" x14ac:dyDescent="0.25">
      <c r="A392" s="134"/>
      <c r="B392" s="134" t="s">
        <v>0</v>
      </c>
      <c r="C392" s="135">
        <v>23660343</v>
      </c>
      <c r="D392" s="135">
        <v>623688</v>
      </c>
      <c r="E392" s="135">
        <v>1002222</v>
      </c>
      <c r="F392" s="135">
        <v>20646</v>
      </c>
      <c r="G392" s="135">
        <v>1646556</v>
      </c>
      <c r="H392" s="135">
        <v>5735586</v>
      </c>
      <c r="I392" s="135">
        <v>12702204</v>
      </c>
      <c r="J392" s="135">
        <v>179369</v>
      </c>
      <c r="K392" s="135">
        <v>18617159</v>
      </c>
      <c r="L392" s="135">
        <v>995664</v>
      </c>
      <c r="M392" s="135">
        <v>2364204</v>
      </c>
      <c r="N392" s="135">
        <v>36760</v>
      </c>
      <c r="O392" s="135">
        <v>3396628</v>
      </c>
    </row>
    <row r="394" spans="1:15" ht="19.5" customHeight="1" x14ac:dyDescent="0.25">
      <c r="A394" s="150" t="s">
        <v>112</v>
      </c>
      <c r="B394" s="150"/>
      <c r="C394" s="150"/>
      <c r="D394" s="150"/>
      <c r="E394" s="150"/>
      <c r="F394" s="150"/>
      <c r="G394" s="150"/>
      <c r="H394" s="150"/>
      <c r="I394" s="150"/>
      <c r="J394" s="150"/>
      <c r="K394" s="150"/>
      <c r="L394" s="150"/>
      <c r="M394" s="150"/>
      <c r="N394" s="150"/>
      <c r="O394" s="150"/>
    </row>
    <row r="395" spans="1:15" ht="19.5" customHeight="1" x14ac:dyDescent="0.25">
      <c r="A395" s="136"/>
      <c r="B395" s="136"/>
      <c r="C395" s="136"/>
      <c r="D395" s="136"/>
      <c r="E395" s="136"/>
      <c r="F395" s="136"/>
      <c r="G395" s="136"/>
      <c r="H395" s="136"/>
      <c r="I395" s="136"/>
      <c r="J395" s="136"/>
      <c r="K395" s="136"/>
      <c r="L395" s="136"/>
      <c r="M395" s="136"/>
      <c r="N395" s="136"/>
      <c r="O395" s="136"/>
    </row>
    <row r="396" spans="1:15" s="126" customFormat="1" ht="28.5" customHeight="1" x14ac:dyDescent="0.25">
      <c r="A396" s="144" t="s">
        <v>17</v>
      </c>
      <c r="B396" s="144" t="s">
        <v>33</v>
      </c>
      <c r="C396" s="151" t="s">
        <v>128</v>
      </c>
      <c r="D396" s="144" t="s">
        <v>69</v>
      </c>
      <c r="E396" s="144"/>
      <c r="F396" s="144"/>
      <c r="G396" s="144"/>
      <c r="H396" s="144"/>
      <c r="I396" s="144"/>
      <c r="J396" s="144"/>
      <c r="K396" s="144"/>
      <c r="L396" s="144"/>
      <c r="M396" s="144"/>
      <c r="N396" s="144"/>
      <c r="O396" s="144"/>
    </row>
    <row r="397" spans="1:15" s="126" customFormat="1" ht="41.25" customHeight="1" x14ac:dyDescent="0.25">
      <c r="A397" s="144"/>
      <c r="B397" s="144"/>
      <c r="C397" s="151"/>
      <c r="D397" s="146" t="s">
        <v>36</v>
      </c>
      <c r="E397" s="146"/>
      <c r="F397" s="146"/>
      <c r="G397" s="146"/>
      <c r="H397" s="147" t="s">
        <v>37</v>
      </c>
      <c r="I397" s="148"/>
      <c r="J397" s="148"/>
      <c r="K397" s="149"/>
      <c r="L397" s="147" t="s">
        <v>38</v>
      </c>
      <c r="M397" s="148"/>
      <c r="N397" s="148"/>
      <c r="O397" s="149"/>
    </row>
    <row r="398" spans="1:15" s="126" customFormat="1" ht="73.5" customHeight="1" x14ac:dyDescent="0.25">
      <c r="A398" s="144"/>
      <c r="B398" s="144"/>
      <c r="C398" s="151"/>
      <c r="D398" s="127" t="s">
        <v>66</v>
      </c>
      <c r="E398" s="127" t="s">
        <v>67</v>
      </c>
      <c r="F398" s="127" t="s">
        <v>68</v>
      </c>
      <c r="G398" s="127" t="s">
        <v>70</v>
      </c>
      <c r="H398" s="128" t="s">
        <v>66</v>
      </c>
      <c r="I398" s="128" t="s">
        <v>67</v>
      </c>
      <c r="J398" s="128" t="s">
        <v>68</v>
      </c>
      <c r="K398" s="128" t="s">
        <v>71</v>
      </c>
      <c r="L398" s="128" t="s">
        <v>66</v>
      </c>
      <c r="M398" s="128" t="s">
        <v>67</v>
      </c>
      <c r="N398" s="128" t="s">
        <v>68</v>
      </c>
      <c r="O398" s="128" t="s">
        <v>72</v>
      </c>
    </row>
    <row r="399" spans="1:15" s="131" customFormat="1" ht="14.25" customHeight="1" x14ac:dyDescent="0.25">
      <c r="A399" s="129">
        <v>1</v>
      </c>
      <c r="B399" s="129">
        <v>2</v>
      </c>
      <c r="C399" s="129">
        <v>3</v>
      </c>
      <c r="D399" s="129">
        <v>4</v>
      </c>
      <c r="E399" s="129">
        <v>5</v>
      </c>
      <c r="F399" s="129">
        <v>6</v>
      </c>
      <c r="G399" s="129">
        <v>7</v>
      </c>
      <c r="H399" s="130">
        <v>8</v>
      </c>
      <c r="I399" s="130">
        <v>9</v>
      </c>
      <c r="J399" s="130">
        <v>10</v>
      </c>
      <c r="K399" s="130">
        <v>11</v>
      </c>
      <c r="L399" s="130">
        <v>12</v>
      </c>
      <c r="M399" s="130">
        <v>13</v>
      </c>
      <c r="N399" s="130">
        <v>14</v>
      </c>
      <c r="O399" s="130">
        <v>15</v>
      </c>
    </row>
    <row r="400" spans="1:15" s="131" customFormat="1" ht="32.25" customHeight="1" x14ac:dyDescent="0.3">
      <c r="A400" s="129" t="s">
        <v>16</v>
      </c>
      <c r="B400" s="132" t="s">
        <v>15</v>
      </c>
      <c r="C400" s="121">
        <v>12782219</v>
      </c>
      <c r="D400" s="121">
        <v>436808</v>
      </c>
      <c r="E400" s="121">
        <v>1042123</v>
      </c>
      <c r="F400" s="121">
        <v>21447</v>
      </c>
      <c r="G400" s="121">
        <v>1500378</v>
      </c>
      <c r="H400" s="122">
        <v>2374713</v>
      </c>
      <c r="I400" s="122">
        <v>5665533</v>
      </c>
      <c r="J400" s="122">
        <v>116600</v>
      </c>
      <c r="K400" s="122">
        <v>8156846</v>
      </c>
      <c r="L400" s="122">
        <v>909784</v>
      </c>
      <c r="M400" s="122">
        <v>2170541</v>
      </c>
      <c r="N400" s="122">
        <v>44670</v>
      </c>
      <c r="O400" s="122">
        <v>3124995</v>
      </c>
    </row>
    <row r="401" spans="1:15" ht="40.5" customHeight="1" x14ac:dyDescent="0.3">
      <c r="A401" s="133" t="s">
        <v>24</v>
      </c>
      <c r="B401" s="132" t="s">
        <v>14</v>
      </c>
      <c r="C401" s="121">
        <v>1046879</v>
      </c>
      <c r="D401" s="121">
        <v>67399</v>
      </c>
      <c r="E401" s="121">
        <v>54907</v>
      </c>
      <c r="F401" s="121">
        <v>0</v>
      </c>
      <c r="G401" s="121">
        <v>122306</v>
      </c>
      <c r="H401" s="122">
        <v>351739</v>
      </c>
      <c r="I401" s="122">
        <v>286555</v>
      </c>
      <c r="J401" s="122">
        <v>0</v>
      </c>
      <c r="K401" s="122">
        <v>638294</v>
      </c>
      <c r="L401" s="122">
        <v>157757</v>
      </c>
      <c r="M401" s="122">
        <v>128522</v>
      </c>
      <c r="N401" s="122">
        <v>0</v>
      </c>
      <c r="O401" s="122">
        <v>286279</v>
      </c>
    </row>
    <row r="402" spans="1:15" ht="34.5" customHeight="1" x14ac:dyDescent="0.3">
      <c r="A402" s="133" t="s">
        <v>24</v>
      </c>
      <c r="B402" s="132" t="s">
        <v>13</v>
      </c>
      <c r="C402" s="121">
        <v>5260734</v>
      </c>
      <c r="D402" s="121">
        <v>0</v>
      </c>
      <c r="E402" s="121">
        <v>476359</v>
      </c>
      <c r="F402" s="121">
        <v>0</v>
      </c>
      <c r="G402" s="121">
        <v>476359</v>
      </c>
      <c r="H402" s="122">
        <v>0</v>
      </c>
      <c r="I402" s="122">
        <v>3615177</v>
      </c>
      <c r="J402" s="122">
        <v>0</v>
      </c>
      <c r="K402" s="122">
        <v>3615177</v>
      </c>
      <c r="L402" s="122">
        <v>0</v>
      </c>
      <c r="M402" s="122">
        <v>1169198</v>
      </c>
      <c r="N402" s="122">
        <v>0</v>
      </c>
      <c r="O402" s="122">
        <v>1169198</v>
      </c>
    </row>
    <row r="403" spans="1:15" ht="40.5" customHeight="1" x14ac:dyDescent="0.3">
      <c r="A403" s="133" t="s">
        <v>22</v>
      </c>
      <c r="B403" s="132" t="s">
        <v>12</v>
      </c>
      <c r="C403" s="121">
        <v>691687</v>
      </c>
      <c r="D403" s="121">
        <v>70808</v>
      </c>
      <c r="E403" s="121">
        <v>0</v>
      </c>
      <c r="F403" s="121">
        <v>0</v>
      </c>
      <c r="G403" s="121">
        <v>70808</v>
      </c>
      <c r="H403" s="122">
        <v>462234</v>
      </c>
      <c r="I403" s="122">
        <v>0</v>
      </c>
      <c r="J403" s="122">
        <v>0</v>
      </c>
      <c r="K403" s="122">
        <v>462234</v>
      </c>
      <c r="L403" s="122">
        <v>158645</v>
      </c>
      <c r="M403" s="122">
        <v>0</v>
      </c>
      <c r="N403" s="122">
        <v>0</v>
      </c>
      <c r="O403" s="122">
        <v>158645</v>
      </c>
    </row>
    <row r="404" spans="1:15" ht="49.5" customHeight="1" x14ac:dyDescent="0.3">
      <c r="A404" s="133" t="s">
        <v>23</v>
      </c>
      <c r="B404" s="132" t="s">
        <v>11</v>
      </c>
      <c r="C404" s="121">
        <v>871681</v>
      </c>
      <c r="D404" s="121">
        <v>31642</v>
      </c>
      <c r="E404" s="121">
        <v>40242</v>
      </c>
      <c r="F404" s="121">
        <v>10176</v>
      </c>
      <c r="G404" s="121">
        <v>82060</v>
      </c>
      <c r="H404" s="122">
        <v>224510</v>
      </c>
      <c r="I404" s="122">
        <v>285531</v>
      </c>
      <c r="J404" s="122">
        <v>72199</v>
      </c>
      <c r="K404" s="122">
        <v>582240</v>
      </c>
      <c r="L404" s="122">
        <v>79966</v>
      </c>
      <c r="M404" s="122">
        <v>101700</v>
      </c>
      <c r="N404" s="122">
        <v>25715</v>
      </c>
      <c r="O404" s="122">
        <v>207381</v>
      </c>
    </row>
    <row r="405" spans="1:15" ht="28.5" customHeight="1" x14ac:dyDescent="0.3">
      <c r="A405" s="133" t="s">
        <v>20</v>
      </c>
      <c r="B405" s="132" t="s">
        <v>34</v>
      </c>
      <c r="C405" s="121">
        <v>914776</v>
      </c>
      <c r="D405" s="121">
        <v>104220</v>
      </c>
      <c r="E405" s="121">
        <v>0</v>
      </c>
      <c r="F405" s="121">
        <v>0</v>
      </c>
      <c r="G405" s="121">
        <v>104220</v>
      </c>
      <c r="H405" s="122">
        <v>543917</v>
      </c>
      <c r="I405" s="122">
        <v>0</v>
      </c>
      <c r="J405" s="122">
        <v>0</v>
      </c>
      <c r="K405" s="122">
        <v>543917</v>
      </c>
      <c r="L405" s="122">
        <v>266639</v>
      </c>
      <c r="M405" s="122">
        <v>0</v>
      </c>
      <c r="N405" s="122">
        <v>0</v>
      </c>
      <c r="O405" s="122">
        <v>266639</v>
      </c>
    </row>
    <row r="406" spans="1:15" ht="34.5" customHeight="1" x14ac:dyDescent="0.3">
      <c r="A406" s="133" t="s">
        <v>22</v>
      </c>
      <c r="B406" s="132" t="s">
        <v>10</v>
      </c>
      <c r="C406" s="121">
        <v>3022526</v>
      </c>
      <c r="D406" s="121">
        <v>95123</v>
      </c>
      <c r="E406" s="121">
        <v>126684</v>
      </c>
      <c r="F406" s="121">
        <v>6817</v>
      </c>
      <c r="G406" s="121">
        <v>228624</v>
      </c>
      <c r="H406" s="122">
        <v>863576</v>
      </c>
      <c r="I406" s="122">
        <v>1150094</v>
      </c>
      <c r="J406" s="122">
        <v>61899</v>
      </c>
      <c r="K406" s="122">
        <v>2075569</v>
      </c>
      <c r="L406" s="122">
        <v>298875</v>
      </c>
      <c r="M406" s="122">
        <v>398036</v>
      </c>
      <c r="N406" s="122">
        <v>21422</v>
      </c>
      <c r="O406" s="122">
        <v>718333</v>
      </c>
    </row>
    <row r="407" spans="1:15" ht="25.5" customHeight="1" x14ac:dyDescent="0.3">
      <c r="A407" s="133" t="s">
        <v>21</v>
      </c>
      <c r="B407" s="132" t="s">
        <v>9</v>
      </c>
      <c r="C407" s="121">
        <v>2667881</v>
      </c>
      <c r="D407" s="121">
        <v>587483</v>
      </c>
      <c r="E407" s="121">
        <v>243442</v>
      </c>
      <c r="F407" s="121">
        <v>10081</v>
      </c>
      <c r="G407" s="121">
        <v>841006</v>
      </c>
      <c r="H407" s="122">
        <v>1259568</v>
      </c>
      <c r="I407" s="122">
        <v>521940</v>
      </c>
      <c r="J407" s="122">
        <v>21614</v>
      </c>
      <c r="K407" s="122">
        <v>1803122</v>
      </c>
      <c r="L407" s="122">
        <v>16794</v>
      </c>
      <c r="M407" s="122">
        <v>6959</v>
      </c>
      <c r="N407" s="122">
        <v>0</v>
      </c>
      <c r="O407" s="122">
        <v>23753</v>
      </c>
    </row>
    <row r="408" spans="1:15" ht="25.5" customHeight="1" x14ac:dyDescent="0.3">
      <c r="A408" s="133" t="s">
        <v>25</v>
      </c>
      <c r="B408" s="132" t="s">
        <v>8</v>
      </c>
      <c r="C408" s="121">
        <v>4040908</v>
      </c>
      <c r="D408" s="121">
        <v>25341</v>
      </c>
      <c r="E408" s="121">
        <v>91603</v>
      </c>
      <c r="F408" s="121">
        <v>0</v>
      </c>
      <c r="G408" s="121">
        <v>116944</v>
      </c>
      <c r="H408" s="122">
        <v>490890</v>
      </c>
      <c r="I408" s="122">
        <v>1774401</v>
      </c>
      <c r="J408" s="122">
        <v>0</v>
      </c>
      <c r="K408" s="122">
        <v>2265291</v>
      </c>
      <c r="L408" s="122">
        <v>359435</v>
      </c>
      <c r="M408" s="122">
        <v>1299238</v>
      </c>
      <c r="N408" s="122">
        <v>0</v>
      </c>
      <c r="O408" s="122">
        <v>1658673</v>
      </c>
    </row>
    <row r="409" spans="1:15" ht="25.5" customHeight="1" x14ac:dyDescent="0.3">
      <c r="A409" s="133" t="s">
        <v>26</v>
      </c>
      <c r="B409" s="132" t="s">
        <v>7</v>
      </c>
      <c r="C409" s="121">
        <v>23458914</v>
      </c>
      <c r="D409" s="121">
        <v>33758</v>
      </c>
      <c r="E409" s="121">
        <v>219130</v>
      </c>
      <c r="F409" s="121">
        <v>0</v>
      </c>
      <c r="G409" s="121">
        <v>252888</v>
      </c>
      <c r="H409" s="122">
        <v>2970265</v>
      </c>
      <c r="I409" s="122">
        <v>19280983</v>
      </c>
      <c r="J409" s="122">
        <v>0</v>
      </c>
      <c r="K409" s="122">
        <v>22251248</v>
      </c>
      <c r="L409" s="122">
        <v>127451</v>
      </c>
      <c r="M409" s="122">
        <v>827327</v>
      </c>
      <c r="N409" s="122">
        <v>0</v>
      </c>
      <c r="O409" s="122">
        <v>954778</v>
      </c>
    </row>
    <row r="410" spans="1:15" ht="25.5" customHeight="1" x14ac:dyDescent="0.3">
      <c r="A410" s="133" t="s">
        <v>20</v>
      </c>
      <c r="B410" s="132" t="s">
        <v>6</v>
      </c>
      <c r="C410" s="121">
        <v>2822617</v>
      </c>
      <c r="D410" s="121">
        <v>3925</v>
      </c>
      <c r="E410" s="121">
        <v>2892</v>
      </c>
      <c r="F410" s="121">
        <v>0</v>
      </c>
      <c r="G410" s="121">
        <v>6817</v>
      </c>
      <c r="H410" s="122">
        <v>1557100</v>
      </c>
      <c r="I410" s="122">
        <v>1146945</v>
      </c>
      <c r="J410" s="122">
        <v>107438</v>
      </c>
      <c r="K410" s="122">
        <v>2811483</v>
      </c>
      <c r="L410" s="122">
        <v>2486</v>
      </c>
      <c r="M410" s="122">
        <v>1831</v>
      </c>
      <c r="N410" s="122">
        <v>0</v>
      </c>
      <c r="O410" s="122">
        <v>4317</v>
      </c>
    </row>
    <row r="411" spans="1:15" ht="25.5" customHeight="1" x14ac:dyDescent="0.3">
      <c r="A411" s="133" t="s">
        <v>19</v>
      </c>
      <c r="B411" s="132" t="s">
        <v>5</v>
      </c>
      <c r="C411" s="121">
        <v>3314065</v>
      </c>
      <c r="D411" s="121">
        <v>240595</v>
      </c>
      <c r="E411" s="121">
        <v>229624</v>
      </c>
      <c r="F411" s="121">
        <v>16088</v>
      </c>
      <c r="G411" s="121">
        <v>486307</v>
      </c>
      <c r="H411" s="122">
        <v>1381180</v>
      </c>
      <c r="I411" s="122">
        <v>1318203</v>
      </c>
      <c r="J411" s="122">
        <v>92351</v>
      </c>
      <c r="K411" s="122">
        <v>2791734</v>
      </c>
      <c r="L411" s="122">
        <v>17822</v>
      </c>
      <c r="M411" s="122">
        <v>17010</v>
      </c>
      <c r="N411" s="122">
        <v>1192</v>
      </c>
      <c r="O411" s="122">
        <v>36024</v>
      </c>
    </row>
    <row r="412" spans="1:15" ht="25.5" customHeight="1" x14ac:dyDescent="0.3">
      <c r="A412" s="133" t="s">
        <v>18</v>
      </c>
      <c r="B412" s="132" t="s">
        <v>4</v>
      </c>
      <c r="C412" s="121">
        <v>2487660</v>
      </c>
      <c r="D412" s="121">
        <v>43918</v>
      </c>
      <c r="E412" s="121">
        <v>54741</v>
      </c>
      <c r="F412" s="121">
        <v>0</v>
      </c>
      <c r="G412" s="121">
        <v>98659</v>
      </c>
      <c r="H412" s="122">
        <v>1057052</v>
      </c>
      <c r="I412" s="122">
        <v>1317568</v>
      </c>
      <c r="J412" s="122">
        <v>0</v>
      </c>
      <c r="K412" s="122">
        <v>2374620</v>
      </c>
      <c r="L412" s="122">
        <v>6401</v>
      </c>
      <c r="M412" s="122">
        <v>7980</v>
      </c>
      <c r="N412" s="122">
        <v>0</v>
      </c>
      <c r="O412" s="122">
        <v>14381</v>
      </c>
    </row>
    <row r="413" spans="1:15" ht="25.5" customHeight="1" x14ac:dyDescent="0.3">
      <c r="A413" s="133" t="s">
        <v>25</v>
      </c>
      <c r="B413" s="132" t="s">
        <v>3</v>
      </c>
      <c r="C413" s="121">
        <v>3136151</v>
      </c>
      <c r="D413" s="121">
        <v>112875</v>
      </c>
      <c r="E413" s="121">
        <v>55480</v>
      </c>
      <c r="F413" s="121">
        <v>5202</v>
      </c>
      <c r="G413" s="121">
        <v>173557</v>
      </c>
      <c r="H413" s="122">
        <v>1513475</v>
      </c>
      <c r="I413" s="122">
        <v>743875</v>
      </c>
      <c r="J413" s="122">
        <v>69735</v>
      </c>
      <c r="K413" s="122">
        <v>2327085</v>
      </c>
      <c r="L413" s="122">
        <v>413319</v>
      </c>
      <c r="M413" s="122">
        <v>203146</v>
      </c>
      <c r="N413" s="122">
        <v>19044</v>
      </c>
      <c r="O413" s="122">
        <v>635509</v>
      </c>
    </row>
    <row r="414" spans="1:15" ht="97.5" customHeight="1" x14ac:dyDescent="0.3">
      <c r="A414" s="133" t="s">
        <v>30</v>
      </c>
      <c r="B414" s="132" t="s">
        <v>130</v>
      </c>
      <c r="C414" s="121">
        <v>343770</v>
      </c>
      <c r="D414" s="121">
        <v>10039</v>
      </c>
      <c r="E414" s="121">
        <v>0</v>
      </c>
      <c r="F414" s="121">
        <v>0</v>
      </c>
      <c r="G414" s="121">
        <v>10039</v>
      </c>
      <c r="H414" s="122">
        <v>309490</v>
      </c>
      <c r="I414" s="122">
        <v>0</v>
      </c>
      <c r="J414" s="122">
        <v>0</v>
      </c>
      <c r="K414" s="122">
        <v>309490</v>
      </c>
      <c r="L414" s="122">
        <v>24241</v>
      </c>
      <c r="M414" s="122">
        <v>0</v>
      </c>
      <c r="N414" s="122">
        <v>0</v>
      </c>
      <c r="O414" s="122">
        <v>24241</v>
      </c>
    </row>
    <row r="415" spans="1:15" ht="99.75" customHeight="1" x14ac:dyDescent="0.3">
      <c r="A415" s="133" t="s">
        <v>31</v>
      </c>
      <c r="B415" s="132" t="s">
        <v>131</v>
      </c>
      <c r="C415" s="121">
        <v>307664</v>
      </c>
      <c r="D415" s="121">
        <v>22473</v>
      </c>
      <c r="E415" s="121">
        <v>0</v>
      </c>
      <c r="F415" s="121">
        <v>0</v>
      </c>
      <c r="G415" s="121">
        <v>22473</v>
      </c>
      <c r="H415" s="122">
        <v>275629</v>
      </c>
      <c r="I415" s="122">
        <v>0</v>
      </c>
      <c r="J415" s="122">
        <v>0</v>
      </c>
      <c r="K415" s="122">
        <v>275629</v>
      </c>
      <c r="L415" s="122">
        <v>9562</v>
      </c>
      <c r="M415" s="122">
        <v>0</v>
      </c>
      <c r="N415" s="122">
        <v>0</v>
      </c>
      <c r="O415" s="122">
        <v>9562</v>
      </c>
    </row>
    <row r="416" spans="1:15" ht="33" customHeight="1" x14ac:dyDescent="0.3">
      <c r="A416" s="133" t="s">
        <v>32</v>
      </c>
      <c r="B416" s="132" t="s">
        <v>73</v>
      </c>
      <c r="C416" s="121">
        <v>116996</v>
      </c>
      <c r="D416" s="121">
        <v>16325</v>
      </c>
      <c r="E416" s="121">
        <v>0</v>
      </c>
      <c r="F416" s="121">
        <v>0</v>
      </c>
      <c r="G416" s="121">
        <v>16325</v>
      </c>
      <c r="H416" s="122">
        <v>58418</v>
      </c>
      <c r="I416" s="122">
        <v>0</v>
      </c>
      <c r="J416" s="122">
        <v>0</v>
      </c>
      <c r="K416" s="122">
        <v>58418</v>
      </c>
      <c r="L416" s="122">
        <v>42253</v>
      </c>
      <c r="M416" s="122">
        <v>0</v>
      </c>
      <c r="N416" s="122">
        <v>0</v>
      </c>
      <c r="O416" s="122">
        <v>42253</v>
      </c>
    </row>
    <row r="417" spans="1:15" ht="33" customHeight="1" x14ac:dyDescent="0.3">
      <c r="A417" s="133" t="s">
        <v>90</v>
      </c>
      <c r="B417" s="132" t="s">
        <v>132</v>
      </c>
      <c r="C417" s="121">
        <v>88733</v>
      </c>
      <c r="D417" s="121">
        <v>0</v>
      </c>
      <c r="E417" s="121">
        <v>9974</v>
      </c>
      <c r="F417" s="121">
        <v>0</v>
      </c>
      <c r="G417" s="121">
        <v>9974</v>
      </c>
      <c r="H417" s="122">
        <v>0</v>
      </c>
      <c r="I417" s="122">
        <v>52450</v>
      </c>
      <c r="J417" s="122">
        <v>0</v>
      </c>
      <c r="K417" s="122">
        <v>52450</v>
      </c>
      <c r="L417" s="122">
        <v>0</v>
      </c>
      <c r="M417" s="122">
        <v>26309</v>
      </c>
      <c r="N417" s="122">
        <v>0</v>
      </c>
      <c r="O417" s="122">
        <v>26309</v>
      </c>
    </row>
    <row r="418" spans="1:15" ht="25.5" customHeight="1" x14ac:dyDescent="0.25">
      <c r="A418" s="134"/>
      <c r="B418" s="134" t="s">
        <v>0</v>
      </c>
      <c r="C418" s="135">
        <v>67375861</v>
      </c>
      <c r="D418" s="135">
        <v>1902732</v>
      </c>
      <c r="E418" s="135">
        <v>2647201</v>
      </c>
      <c r="F418" s="135">
        <v>69811</v>
      </c>
      <c r="G418" s="135">
        <v>4619744</v>
      </c>
      <c r="H418" s="135">
        <v>15693756</v>
      </c>
      <c r="I418" s="135">
        <v>37159255</v>
      </c>
      <c r="J418" s="135">
        <v>541836</v>
      </c>
      <c r="K418" s="135">
        <v>53394847</v>
      </c>
      <c r="L418" s="135">
        <v>2891430</v>
      </c>
      <c r="M418" s="135">
        <v>6357797</v>
      </c>
      <c r="N418" s="135">
        <v>112043</v>
      </c>
      <c r="O418" s="135">
        <v>9361270</v>
      </c>
    </row>
    <row r="420" spans="1:15" ht="19.5" customHeight="1" x14ac:dyDescent="0.25">
      <c r="A420" s="150" t="s">
        <v>112</v>
      </c>
      <c r="B420" s="150"/>
      <c r="C420" s="150"/>
      <c r="D420" s="150"/>
      <c r="E420" s="150"/>
      <c r="F420" s="150"/>
      <c r="G420" s="150"/>
      <c r="H420" s="150"/>
      <c r="I420" s="150"/>
      <c r="J420" s="150"/>
      <c r="K420" s="150"/>
      <c r="L420" s="150"/>
      <c r="M420" s="150"/>
      <c r="N420" s="150"/>
      <c r="O420" s="150"/>
    </row>
    <row r="421" spans="1:15" ht="19.5" customHeight="1" x14ac:dyDescent="0.25">
      <c r="A421" s="136"/>
      <c r="B421" s="136"/>
      <c r="C421" s="136"/>
      <c r="D421" s="136"/>
      <c r="E421" s="136"/>
      <c r="F421" s="136"/>
      <c r="G421" s="136"/>
      <c r="H421" s="136"/>
      <c r="I421" s="136"/>
      <c r="J421" s="136"/>
      <c r="K421" s="136"/>
      <c r="L421" s="136"/>
      <c r="M421" s="136"/>
      <c r="N421" s="136"/>
      <c r="O421" s="136"/>
    </row>
    <row r="422" spans="1:15" s="126" customFormat="1" ht="28.5" customHeight="1" x14ac:dyDescent="0.25">
      <c r="A422" s="144" t="s">
        <v>17</v>
      </c>
      <c r="B422" s="144" t="s">
        <v>33</v>
      </c>
      <c r="C422" s="145" t="s">
        <v>129</v>
      </c>
      <c r="D422" s="144" t="s">
        <v>69</v>
      </c>
      <c r="E422" s="144"/>
      <c r="F422" s="144"/>
      <c r="G422" s="144"/>
      <c r="H422" s="144"/>
      <c r="I422" s="144"/>
      <c r="J422" s="144"/>
      <c r="K422" s="144"/>
      <c r="L422" s="144"/>
      <c r="M422" s="144"/>
      <c r="N422" s="144"/>
      <c r="O422" s="144"/>
    </row>
    <row r="423" spans="1:15" s="126" customFormat="1" ht="41.25" customHeight="1" x14ac:dyDescent="0.25">
      <c r="A423" s="144"/>
      <c r="B423" s="144"/>
      <c r="C423" s="145"/>
      <c r="D423" s="146" t="s">
        <v>36</v>
      </c>
      <c r="E423" s="146"/>
      <c r="F423" s="146"/>
      <c r="G423" s="146"/>
      <c r="H423" s="147" t="s">
        <v>37</v>
      </c>
      <c r="I423" s="148"/>
      <c r="J423" s="148"/>
      <c r="K423" s="149"/>
      <c r="L423" s="147" t="s">
        <v>38</v>
      </c>
      <c r="M423" s="148"/>
      <c r="N423" s="148"/>
      <c r="O423" s="149"/>
    </row>
    <row r="424" spans="1:15" s="126" customFormat="1" ht="59.25" customHeight="1" x14ac:dyDescent="0.25">
      <c r="A424" s="144"/>
      <c r="B424" s="144"/>
      <c r="C424" s="145"/>
      <c r="D424" s="127" t="s">
        <v>66</v>
      </c>
      <c r="E424" s="127" t="s">
        <v>67</v>
      </c>
      <c r="F424" s="127" t="s">
        <v>68</v>
      </c>
      <c r="G424" s="127" t="s">
        <v>70</v>
      </c>
      <c r="H424" s="128" t="s">
        <v>66</v>
      </c>
      <c r="I424" s="128" t="s">
        <v>67</v>
      </c>
      <c r="J424" s="128" t="s">
        <v>68</v>
      </c>
      <c r="K424" s="128" t="s">
        <v>71</v>
      </c>
      <c r="L424" s="128" t="s">
        <v>66</v>
      </c>
      <c r="M424" s="128" t="s">
        <v>67</v>
      </c>
      <c r="N424" s="128" t="s">
        <v>68</v>
      </c>
      <c r="O424" s="128" t="s">
        <v>72</v>
      </c>
    </row>
    <row r="425" spans="1:15" s="131" customFormat="1" ht="14.25" customHeight="1" x14ac:dyDescent="0.25">
      <c r="A425" s="129">
        <v>1</v>
      </c>
      <c r="B425" s="129">
        <v>2</v>
      </c>
      <c r="C425" s="129">
        <v>3</v>
      </c>
      <c r="D425" s="129">
        <v>4</v>
      </c>
      <c r="E425" s="129">
        <v>5</v>
      </c>
      <c r="F425" s="129">
        <v>6</v>
      </c>
      <c r="G425" s="129">
        <v>7</v>
      </c>
      <c r="H425" s="130">
        <v>8</v>
      </c>
      <c r="I425" s="130">
        <v>9</v>
      </c>
      <c r="J425" s="130">
        <v>10</v>
      </c>
      <c r="K425" s="130">
        <v>11</v>
      </c>
      <c r="L425" s="130">
        <v>12</v>
      </c>
      <c r="M425" s="130">
        <v>13</v>
      </c>
      <c r="N425" s="130">
        <v>14</v>
      </c>
      <c r="O425" s="130">
        <v>15</v>
      </c>
    </row>
    <row r="426" spans="1:15" s="131" customFormat="1" ht="33.75" customHeight="1" x14ac:dyDescent="0.3">
      <c r="A426" s="129" t="s">
        <v>16</v>
      </c>
      <c r="B426" s="132" t="s">
        <v>15</v>
      </c>
      <c r="C426" s="122">
        <v>60995149</v>
      </c>
      <c r="D426" s="122">
        <v>2102866</v>
      </c>
      <c r="E426" s="122">
        <v>4947176</v>
      </c>
      <c r="F426" s="122">
        <v>109569</v>
      </c>
      <c r="G426" s="122">
        <v>7159611</v>
      </c>
      <c r="H426" s="122">
        <v>11432281</v>
      </c>
      <c r="I426" s="122">
        <v>26895478</v>
      </c>
      <c r="J426" s="122">
        <v>595685</v>
      </c>
      <c r="K426" s="122">
        <v>38923444</v>
      </c>
      <c r="L426" s="122">
        <v>4379860</v>
      </c>
      <c r="M426" s="122">
        <v>10304020</v>
      </c>
      <c r="N426" s="122">
        <v>228214</v>
      </c>
      <c r="O426" s="122">
        <v>14912094</v>
      </c>
    </row>
    <row r="427" spans="1:15" ht="40.5" customHeight="1" x14ac:dyDescent="0.3">
      <c r="A427" s="133" t="s">
        <v>24</v>
      </c>
      <c r="B427" s="132" t="s">
        <v>14</v>
      </c>
      <c r="C427" s="122">
        <v>4171764</v>
      </c>
      <c r="D427" s="122">
        <v>273878</v>
      </c>
      <c r="E427" s="122">
        <v>213509</v>
      </c>
      <c r="F427" s="122">
        <v>0</v>
      </c>
      <c r="G427" s="122">
        <v>487387</v>
      </c>
      <c r="H427" s="122">
        <v>1429308</v>
      </c>
      <c r="I427" s="122">
        <v>1114258</v>
      </c>
      <c r="J427" s="122">
        <v>0</v>
      </c>
      <c r="K427" s="122">
        <v>2543566</v>
      </c>
      <c r="L427" s="122">
        <v>641055</v>
      </c>
      <c r="M427" s="122">
        <v>499756</v>
      </c>
      <c r="N427" s="122">
        <v>0</v>
      </c>
      <c r="O427" s="122">
        <v>1140811</v>
      </c>
    </row>
    <row r="428" spans="1:15" ht="34.5" customHeight="1" x14ac:dyDescent="0.3">
      <c r="A428" s="133" t="s">
        <v>24</v>
      </c>
      <c r="B428" s="132" t="s">
        <v>13</v>
      </c>
      <c r="C428" s="122">
        <v>21619751</v>
      </c>
      <c r="D428" s="122">
        <v>0</v>
      </c>
      <c r="E428" s="122">
        <v>1957669</v>
      </c>
      <c r="F428" s="122">
        <v>0</v>
      </c>
      <c r="G428" s="122">
        <v>1957669</v>
      </c>
      <c r="H428" s="122">
        <v>0</v>
      </c>
      <c r="I428" s="122">
        <v>14857093</v>
      </c>
      <c r="J428" s="122">
        <v>0</v>
      </c>
      <c r="K428" s="122">
        <v>14857093</v>
      </c>
      <c r="L428" s="122">
        <v>0</v>
      </c>
      <c r="M428" s="122">
        <v>4804989</v>
      </c>
      <c r="N428" s="122">
        <v>0</v>
      </c>
      <c r="O428" s="122">
        <v>4804989</v>
      </c>
    </row>
    <row r="429" spans="1:15" ht="40.5" customHeight="1" x14ac:dyDescent="0.3">
      <c r="A429" s="133" t="s">
        <v>22</v>
      </c>
      <c r="B429" s="132" t="s">
        <v>12</v>
      </c>
      <c r="C429" s="122">
        <v>2349158</v>
      </c>
      <c r="D429" s="122">
        <v>240483</v>
      </c>
      <c r="E429" s="122">
        <v>0</v>
      </c>
      <c r="F429" s="122">
        <v>0</v>
      </c>
      <c r="G429" s="122">
        <v>240483</v>
      </c>
      <c r="H429" s="122">
        <v>1569872</v>
      </c>
      <c r="I429" s="122">
        <v>0</v>
      </c>
      <c r="J429" s="122">
        <v>0</v>
      </c>
      <c r="K429" s="122">
        <v>1569872</v>
      </c>
      <c r="L429" s="122">
        <v>538803</v>
      </c>
      <c r="M429" s="122">
        <v>0</v>
      </c>
      <c r="N429" s="122">
        <v>0</v>
      </c>
      <c r="O429" s="122">
        <v>538803</v>
      </c>
    </row>
    <row r="430" spans="1:15" ht="45.75" customHeight="1" x14ac:dyDescent="0.3">
      <c r="A430" s="133" t="s">
        <v>23</v>
      </c>
      <c r="B430" s="132" t="s">
        <v>11</v>
      </c>
      <c r="C430" s="122">
        <v>2471096</v>
      </c>
      <c r="D430" s="122">
        <v>89818</v>
      </c>
      <c r="E430" s="122">
        <v>113988</v>
      </c>
      <c r="F430" s="122">
        <v>28823</v>
      </c>
      <c r="G430" s="122">
        <v>232629</v>
      </c>
      <c r="H430" s="122">
        <v>637285</v>
      </c>
      <c r="I430" s="122">
        <v>808778</v>
      </c>
      <c r="J430" s="122">
        <v>204506</v>
      </c>
      <c r="K430" s="122">
        <v>1650569</v>
      </c>
      <c r="L430" s="122">
        <v>226987</v>
      </c>
      <c r="M430" s="122">
        <v>288071</v>
      </c>
      <c r="N430" s="122">
        <v>72840</v>
      </c>
      <c r="O430" s="122">
        <v>587898</v>
      </c>
    </row>
    <row r="431" spans="1:15" ht="28.5" customHeight="1" x14ac:dyDescent="0.3">
      <c r="A431" s="133" t="s">
        <v>20</v>
      </c>
      <c r="B431" s="132" t="s">
        <v>34</v>
      </c>
      <c r="C431" s="122">
        <v>2745097</v>
      </c>
      <c r="D431" s="122">
        <v>312749</v>
      </c>
      <c r="E431" s="122">
        <v>0</v>
      </c>
      <c r="F431" s="122">
        <v>0</v>
      </c>
      <c r="G431" s="122">
        <v>312749</v>
      </c>
      <c r="H431" s="122">
        <v>1632207</v>
      </c>
      <c r="I431" s="122">
        <v>0</v>
      </c>
      <c r="J431" s="122">
        <v>0</v>
      </c>
      <c r="K431" s="122">
        <v>1632207</v>
      </c>
      <c r="L431" s="122">
        <v>800141</v>
      </c>
      <c r="M431" s="122">
        <v>0</v>
      </c>
      <c r="N431" s="122">
        <v>0</v>
      </c>
      <c r="O431" s="122">
        <v>800141</v>
      </c>
    </row>
    <row r="432" spans="1:15" ht="34.5" customHeight="1" x14ac:dyDescent="0.3">
      <c r="A432" s="133" t="s">
        <v>22</v>
      </c>
      <c r="B432" s="132" t="s">
        <v>10</v>
      </c>
      <c r="C432" s="122">
        <v>10802534</v>
      </c>
      <c r="D432" s="122">
        <v>343964</v>
      </c>
      <c r="E432" s="122">
        <v>449741</v>
      </c>
      <c r="F432" s="122">
        <v>23399</v>
      </c>
      <c r="G432" s="122">
        <v>817104</v>
      </c>
      <c r="H432" s="122">
        <v>3122678</v>
      </c>
      <c r="I432" s="122">
        <v>4082985</v>
      </c>
      <c r="J432" s="122">
        <v>212437</v>
      </c>
      <c r="K432" s="122">
        <v>7418100</v>
      </c>
      <c r="L432" s="122">
        <v>1080727</v>
      </c>
      <c r="M432" s="122">
        <v>1413081</v>
      </c>
      <c r="N432" s="122">
        <v>73522</v>
      </c>
      <c r="O432" s="122">
        <v>2567330</v>
      </c>
    </row>
    <row r="433" spans="1:15" ht="25.5" customHeight="1" x14ac:dyDescent="0.3">
      <c r="A433" s="133" t="s">
        <v>21</v>
      </c>
      <c r="B433" s="132" t="s">
        <v>9</v>
      </c>
      <c r="C433" s="122">
        <v>10751679</v>
      </c>
      <c r="D433" s="122">
        <v>2364214</v>
      </c>
      <c r="E433" s="122">
        <v>983485</v>
      </c>
      <c r="F433" s="122">
        <v>41230</v>
      </c>
      <c r="G433" s="122">
        <v>3388929</v>
      </c>
      <c r="H433" s="122">
        <v>5068888</v>
      </c>
      <c r="I433" s="122">
        <v>2108593</v>
      </c>
      <c r="J433" s="122">
        <v>88396</v>
      </c>
      <c r="K433" s="122">
        <v>7265877</v>
      </c>
      <c r="L433" s="122">
        <v>67582</v>
      </c>
      <c r="M433" s="122">
        <v>28114</v>
      </c>
      <c r="N433" s="122">
        <v>1177</v>
      </c>
      <c r="O433" s="122">
        <v>96873</v>
      </c>
    </row>
    <row r="434" spans="1:15" ht="25.5" customHeight="1" x14ac:dyDescent="0.3">
      <c r="A434" s="133" t="s">
        <v>25</v>
      </c>
      <c r="B434" s="132" t="s">
        <v>8</v>
      </c>
      <c r="C434" s="122">
        <v>18363943</v>
      </c>
      <c r="D434" s="122">
        <v>115268</v>
      </c>
      <c r="E434" s="122">
        <v>416184</v>
      </c>
      <c r="F434" s="122">
        <v>0</v>
      </c>
      <c r="G434" s="122">
        <v>531452</v>
      </c>
      <c r="H434" s="122">
        <v>2232840</v>
      </c>
      <c r="I434" s="122">
        <v>8061803</v>
      </c>
      <c r="J434" s="122">
        <v>0</v>
      </c>
      <c r="K434" s="122">
        <v>10294643</v>
      </c>
      <c r="L434" s="122">
        <v>1634910</v>
      </c>
      <c r="M434" s="122">
        <v>5902938</v>
      </c>
      <c r="N434" s="122">
        <v>0</v>
      </c>
      <c r="O434" s="122">
        <v>7537848</v>
      </c>
    </row>
    <row r="435" spans="1:15" ht="25.5" customHeight="1" x14ac:dyDescent="0.3">
      <c r="A435" s="133" t="s">
        <v>26</v>
      </c>
      <c r="B435" s="132" t="s">
        <v>7</v>
      </c>
      <c r="C435" s="122">
        <v>72033540</v>
      </c>
      <c r="D435" s="122">
        <v>102588</v>
      </c>
      <c r="E435" s="122">
        <v>673934</v>
      </c>
      <c r="F435" s="122">
        <v>0</v>
      </c>
      <c r="G435" s="122">
        <v>776522</v>
      </c>
      <c r="H435" s="122">
        <v>9026518</v>
      </c>
      <c r="I435" s="122">
        <v>59298735</v>
      </c>
      <c r="J435" s="122">
        <v>0</v>
      </c>
      <c r="K435" s="122">
        <v>68325253</v>
      </c>
      <c r="L435" s="122">
        <v>387318</v>
      </c>
      <c r="M435" s="122">
        <v>2544447</v>
      </c>
      <c r="N435" s="122">
        <v>0</v>
      </c>
      <c r="O435" s="122">
        <v>2931765</v>
      </c>
    </row>
    <row r="436" spans="1:15" ht="25.5" customHeight="1" x14ac:dyDescent="0.3">
      <c r="A436" s="133" t="s">
        <v>20</v>
      </c>
      <c r="B436" s="132" t="s">
        <v>6</v>
      </c>
      <c r="C436" s="122">
        <v>13473787</v>
      </c>
      <c r="D436" s="122">
        <v>15525</v>
      </c>
      <c r="E436" s="122">
        <v>17534</v>
      </c>
      <c r="F436" s="122">
        <v>760</v>
      </c>
      <c r="G436" s="122">
        <v>33819</v>
      </c>
      <c r="H436" s="122">
        <v>6159906</v>
      </c>
      <c r="I436" s="122">
        <v>6957091</v>
      </c>
      <c r="J436" s="122">
        <v>301548</v>
      </c>
      <c r="K436" s="122">
        <v>13418545</v>
      </c>
      <c r="L436" s="122">
        <v>9833</v>
      </c>
      <c r="M436" s="122">
        <v>11109</v>
      </c>
      <c r="N436" s="122">
        <v>481</v>
      </c>
      <c r="O436" s="122">
        <v>21423</v>
      </c>
    </row>
    <row r="437" spans="1:15" ht="25.5" customHeight="1" x14ac:dyDescent="0.3">
      <c r="A437" s="133" t="s">
        <v>19</v>
      </c>
      <c r="B437" s="132" t="s">
        <v>5</v>
      </c>
      <c r="C437" s="122">
        <v>11363458</v>
      </c>
      <c r="D437" s="122">
        <v>826303</v>
      </c>
      <c r="E437" s="122">
        <v>790254</v>
      </c>
      <c r="F437" s="122">
        <v>50917</v>
      </c>
      <c r="G437" s="122">
        <v>1667474</v>
      </c>
      <c r="H437" s="122">
        <v>4743552</v>
      </c>
      <c r="I437" s="122">
        <v>4536614</v>
      </c>
      <c r="J437" s="122">
        <v>292297</v>
      </c>
      <c r="K437" s="122">
        <v>9572463</v>
      </c>
      <c r="L437" s="122">
        <v>61209</v>
      </c>
      <c r="M437" s="122">
        <v>58539</v>
      </c>
      <c r="N437" s="122">
        <v>3773</v>
      </c>
      <c r="O437" s="122">
        <v>123521</v>
      </c>
    </row>
    <row r="438" spans="1:15" ht="25.5" customHeight="1" x14ac:dyDescent="0.3">
      <c r="A438" s="133" t="s">
        <v>18</v>
      </c>
      <c r="B438" s="132" t="s">
        <v>4</v>
      </c>
      <c r="C438" s="122">
        <v>8658754</v>
      </c>
      <c r="D438" s="122">
        <v>152866</v>
      </c>
      <c r="E438" s="122">
        <v>190540</v>
      </c>
      <c r="F438" s="122">
        <v>0</v>
      </c>
      <c r="G438" s="122">
        <v>343406</v>
      </c>
      <c r="H438" s="122">
        <v>3679262</v>
      </c>
      <c r="I438" s="122">
        <v>4586038</v>
      </c>
      <c r="J438" s="122">
        <v>0</v>
      </c>
      <c r="K438" s="122">
        <v>8265300</v>
      </c>
      <c r="L438" s="122">
        <v>22278</v>
      </c>
      <c r="M438" s="122">
        <v>27770</v>
      </c>
      <c r="N438" s="122">
        <v>0</v>
      </c>
      <c r="O438" s="122">
        <v>50048</v>
      </c>
    </row>
    <row r="439" spans="1:15" ht="25.5" customHeight="1" x14ac:dyDescent="0.3">
      <c r="A439" s="133" t="s">
        <v>25</v>
      </c>
      <c r="B439" s="132" t="s">
        <v>3</v>
      </c>
      <c r="C439" s="122">
        <v>8860319</v>
      </c>
      <c r="D439" s="122">
        <v>321033</v>
      </c>
      <c r="E439" s="122">
        <v>154786</v>
      </c>
      <c r="F439" s="122">
        <v>14511</v>
      </c>
      <c r="G439" s="122">
        <v>490330</v>
      </c>
      <c r="H439" s="122">
        <v>4304538</v>
      </c>
      <c r="I439" s="122">
        <v>2075431</v>
      </c>
      <c r="J439" s="122">
        <v>194565</v>
      </c>
      <c r="K439" s="122">
        <v>6574534</v>
      </c>
      <c r="L439" s="122">
        <v>1175537</v>
      </c>
      <c r="M439" s="122">
        <v>566784</v>
      </c>
      <c r="N439" s="122">
        <v>53134</v>
      </c>
      <c r="O439" s="122">
        <v>1795455</v>
      </c>
    </row>
    <row r="440" spans="1:15" ht="102.75" customHeight="1" x14ac:dyDescent="0.3">
      <c r="A440" s="133" t="s">
        <v>30</v>
      </c>
      <c r="B440" s="132" t="s">
        <v>130</v>
      </c>
      <c r="C440" s="122">
        <v>1328224</v>
      </c>
      <c r="D440" s="122">
        <v>38784</v>
      </c>
      <c r="E440" s="122">
        <v>0</v>
      </c>
      <c r="F440" s="122">
        <v>0</v>
      </c>
      <c r="G440" s="122">
        <v>38784</v>
      </c>
      <c r="H440" s="122">
        <v>1195774</v>
      </c>
      <c r="I440" s="122">
        <v>0</v>
      </c>
      <c r="J440" s="122">
        <v>0</v>
      </c>
      <c r="K440" s="122">
        <v>1195774</v>
      </c>
      <c r="L440" s="122">
        <v>93666</v>
      </c>
      <c r="M440" s="122">
        <v>0</v>
      </c>
      <c r="N440" s="122">
        <v>0</v>
      </c>
      <c r="O440" s="122">
        <v>93666</v>
      </c>
    </row>
    <row r="441" spans="1:15" ht="104.25" customHeight="1" x14ac:dyDescent="0.3">
      <c r="A441" s="133" t="s">
        <v>31</v>
      </c>
      <c r="B441" s="132" t="s">
        <v>131</v>
      </c>
      <c r="C441" s="122">
        <v>999492</v>
      </c>
      <c r="D441" s="122">
        <v>73003</v>
      </c>
      <c r="E441" s="122">
        <v>0</v>
      </c>
      <c r="F441" s="122">
        <v>0</v>
      </c>
      <c r="G441" s="122">
        <v>73003</v>
      </c>
      <c r="H441" s="122">
        <v>895425</v>
      </c>
      <c r="I441" s="122">
        <v>0</v>
      </c>
      <c r="J441" s="122">
        <v>0</v>
      </c>
      <c r="K441" s="122">
        <v>895425</v>
      </c>
      <c r="L441" s="122">
        <v>31064</v>
      </c>
      <c r="M441" s="122">
        <v>0</v>
      </c>
      <c r="N441" s="122">
        <v>0</v>
      </c>
      <c r="O441" s="122">
        <v>31064</v>
      </c>
    </row>
    <row r="442" spans="1:15" ht="33" customHeight="1" x14ac:dyDescent="0.3">
      <c r="A442" s="133" t="s">
        <v>32</v>
      </c>
      <c r="B442" s="132" t="s">
        <v>73</v>
      </c>
      <c r="C442" s="122">
        <v>516996</v>
      </c>
      <c r="D442" s="122">
        <v>72136</v>
      </c>
      <c r="E442" s="122">
        <v>0</v>
      </c>
      <c r="F442" s="122">
        <v>0</v>
      </c>
      <c r="G442" s="122">
        <v>72136</v>
      </c>
      <c r="H442" s="122">
        <v>258152</v>
      </c>
      <c r="I442" s="122">
        <v>0</v>
      </c>
      <c r="J442" s="122">
        <v>0</v>
      </c>
      <c r="K442" s="122">
        <v>258152</v>
      </c>
      <c r="L442" s="122">
        <v>186708</v>
      </c>
      <c r="M442" s="122">
        <v>0</v>
      </c>
      <c r="N442" s="122">
        <v>0</v>
      </c>
      <c r="O442" s="122">
        <v>186708</v>
      </c>
    </row>
    <row r="443" spans="1:15" ht="33" customHeight="1" x14ac:dyDescent="0.3">
      <c r="A443" s="133" t="s">
        <v>90</v>
      </c>
      <c r="B443" s="132" t="s">
        <v>132</v>
      </c>
      <c r="C443" s="122">
        <v>354884</v>
      </c>
      <c r="D443" s="122">
        <v>0</v>
      </c>
      <c r="E443" s="122">
        <v>39890</v>
      </c>
      <c r="F443" s="122">
        <v>0</v>
      </c>
      <c r="G443" s="122">
        <v>39890</v>
      </c>
      <c r="H443" s="122">
        <v>0</v>
      </c>
      <c r="I443" s="122">
        <v>209764</v>
      </c>
      <c r="J443" s="122">
        <v>0</v>
      </c>
      <c r="K443" s="122">
        <v>209764</v>
      </c>
      <c r="L443" s="122">
        <v>0</v>
      </c>
      <c r="M443" s="122">
        <v>105230</v>
      </c>
      <c r="N443" s="122">
        <v>0</v>
      </c>
      <c r="O443" s="122">
        <v>105230</v>
      </c>
    </row>
    <row r="444" spans="1:15" ht="25.5" customHeight="1" x14ac:dyDescent="0.25">
      <c r="A444" s="134"/>
      <c r="B444" s="134" t="s">
        <v>0</v>
      </c>
      <c r="C444" s="135">
        <v>251859625</v>
      </c>
      <c r="D444" s="135">
        <v>7445478</v>
      </c>
      <c r="E444" s="135">
        <v>10948690</v>
      </c>
      <c r="F444" s="135">
        <v>269209</v>
      </c>
      <c r="G444" s="135">
        <v>18663377</v>
      </c>
      <c r="H444" s="135">
        <v>57388486</v>
      </c>
      <c r="I444" s="135">
        <v>135592661</v>
      </c>
      <c r="J444" s="135">
        <v>1889434</v>
      </c>
      <c r="K444" s="135">
        <v>194870581</v>
      </c>
      <c r="L444" s="135">
        <v>11337678</v>
      </c>
      <c r="M444" s="135">
        <v>26554848</v>
      </c>
      <c r="N444" s="135">
        <v>433141</v>
      </c>
      <c r="O444" s="135">
        <v>38325667</v>
      </c>
    </row>
    <row r="448" spans="1:15" x14ac:dyDescent="0.25">
      <c r="C448" s="137"/>
      <c r="D448" s="137"/>
      <c r="E448" s="137"/>
      <c r="F448" s="137"/>
      <c r="G448" s="137"/>
      <c r="H448" s="137"/>
      <c r="I448" s="137"/>
      <c r="J448" s="137"/>
      <c r="K448" s="137"/>
      <c r="L448" s="137"/>
      <c r="M448" s="137"/>
      <c r="N448" s="137"/>
      <c r="O448" s="137"/>
    </row>
  </sheetData>
  <mergeCells count="136">
    <mergeCell ref="A56:O56"/>
    <mergeCell ref="A82:O82"/>
    <mergeCell ref="A108:O108"/>
    <mergeCell ref="A134:O134"/>
    <mergeCell ref="A160:O160"/>
    <mergeCell ref="A186:O186"/>
    <mergeCell ref="A212:O212"/>
    <mergeCell ref="A238:O238"/>
    <mergeCell ref="A264:O264"/>
    <mergeCell ref="A84:A86"/>
    <mergeCell ref="B84:B86"/>
    <mergeCell ref="C84:C86"/>
    <mergeCell ref="D84:O84"/>
    <mergeCell ref="D85:G85"/>
    <mergeCell ref="H85:K85"/>
    <mergeCell ref="L85:O85"/>
    <mergeCell ref="A58:A60"/>
    <mergeCell ref="B58:B60"/>
    <mergeCell ref="C58:C60"/>
    <mergeCell ref="D58:O58"/>
    <mergeCell ref="D59:G59"/>
    <mergeCell ref="H59:K59"/>
    <mergeCell ref="L59:O59"/>
    <mergeCell ref="A136:A138"/>
    <mergeCell ref="A32:A34"/>
    <mergeCell ref="B32:B34"/>
    <mergeCell ref="C32:C34"/>
    <mergeCell ref="D32:O32"/>
    <mergeCell ref="D33:G33"/>
    <mergeCell ref="H33:K33"/>
    <mergeCell ref="L33:O33"/>
    <mergeCell ref="A5:O5"/>
    <mergeCell ref="A6:A8"/>
    <mergeCell ref="B6:B8"/>
    <mergeCell ref="C6:C8"/>
    <mergeCell ref="D6:O6"/>
    <mergeCell ref="D7:G7"/>
    <mergeCell ref="H7:K7"/>
    <mergeCell ref="L7:O7"/>
    <mergeCell ref="A30:O30"/>
    <mergeCell ref="B136:B138"/>
    <mergeCell ref="C136:C138"/>
    <mergeCell ref="D136:O136"/>
    <mergeCell ref="D137:G137"/>
    <mergeCell ref="H137:K137"/>
    <mergeCell ref="L137:O137"/>
    <mergeCell ref="A110:A112"/>
    <mergeCell ref="B110:B112"/>
    <mergeCell ref="C110:C112"/>
    <mergeCell ref="D110:O110"/>
    <mergeCell ref="D111:G111"/>
    <mergeCell ref="H111:K111"/>
    <mergeCell ref="L111:O111"/>
    <mergeCell ref="A188:A190"/>
    <mergeCell ref="B188:B190"/>
    <mergeCell ref="C188:C190"/>
    <mergeCell ref="D188:O188"/>
    <mergeCell ref="D189:G189"/>
    <mergeCell ref="H189:K189"/>
    <mergeCell ref="L189:O189"/>
    <mergeCell ref="A162:A164"/>
    <mergeCell ref="B162:B164"/>
    <mergeCell ref="C162:C164"/>
    <mergeCell ref="D162:O162"/>
    <mergeCell ref="D163:G163"/>
    <mergeCell ref="H163:K163"/>
    <mergeCell ref="L163:O163"/>
    <mergeCell ref="A240:A242"/>
    <mergeCell ref="B240:B242"/>
    <mergeCell ref="C240:C242"/>
    <mergeCell ref="D240:O240"/>
    <mergeCell ref="D241:G241"/>
    <mergeCell ref="H241:K241"/>
    <mergeCell ref="L241:O241"/>
    <mergeCell ref="A214:A216"/>
    <mergeCell ref="B214:B216"/>
    <mergeCell ref="C214:C216"/>
    <mergeCell ref="D214:O214"/>
    <mergeCell ref="D215:G215"/>
    <mergeCell ref="H215:K215"/>
    <mergeCell ref="L215:O215"/>
    <mergeCell ref="A292:A294"/>
    <mergeCell ref="B292:B294"/>
    <mergeCell ref="C292:C294"/>
    <mergeCell ref="D292:O292"/>
    <mergeCell ref="D293:G293"/>
    <mergeCell ref="H293:K293"/>
    <mergeCell ref="L293:O293"/>
    <mergeCell ref="A266:A268"/>
    <mergeCell ref="B266:B268"/>
    <mergeCell ref="C266:C268"/>
    <mergeCell ref="D266:O266"/>
    <mergeCell ref="D267:G267"/>
    <mergeCell ref="H267:K267"/>
    <mergeCell ref="L267:O267"/>
    <mergeCell ref="A290:O290"/>
    <mergeCell ref="A344:A346"/>
    <mergeCell ref="B344:B346"/>
    <mergeCell ref="C344:C346"/>
    <mergeCell ref="D344:O344"/>
    <mergeCell ref="D345:G345"/>
    <mergeCell ref="H345:K345"/>
    <mergeCell ref="L345:O345"/>
    <mergeCell ref="A316:O316"/>
    <mergeCell ref="A318:A320"/>
    <mergeCell ref="B318:B320"/>
    <mergeCell ref="C318:C320"/>
    <mergeCell ref="D318:O318"/>
    <mergeCell ref="D319:G319"/>
    <mergeCell ref="H319:K319"/>
    <mergeCell ref="L319:O319"/>
    <mergeCell ref="A342:O342"/>
    <mergeCell ref="A396:A398"/>
    <mergeCell ref="B396:B398"/>
    <mergeCell ref="C396:C398"/>
    <mergeCell ref="D396:O396"/>
    <mergeCell ref="D397:G397"/>
    <mergeCell ref="H397:K397"/>
    <mergeCell ref="L397:O397"/>
    <mergeCell ref="A368:O368"/>
    <mergeCell ref="A370:A372"/>
    <mergeCell ref="B370:B372"/>
    <mergeCell ref="C370:C372"/>
    <mergeCell ref="D370:O370"/>
    <mergeCell ref="D371:G371"/>
    <mergeCell ref="H371:K371"/>
    <mergeCell ref="L371:O371"/>
    <mergeCell ref="A394:O394"/>
    <mergeCell ref="A422:A424"/>
    <mergeCell ref="B422:B424"/>
    <mergeCell ref="C422:C424"/>
    <mergeCell ref="D422:O422"/>
    <mergeCell ref="D423:G423"/>
    <mergeCell ref="H423:K423"/>
    <mergeCell ref="L423:O423"/>
    <mergeCell ref="A420:O420"/>
  </mergeCells>
  <pageMargins left="0.57999999999999996" right="0.16" top="0.38" bottom="0.31" header="0.19" footer="0.16"/>
  <pageSetup paperSize="9" scale="10" orientation="landscape" horizont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H448"/>
  <sheetViews>
    <sheetView topLeftCell="A431" zoomScale="80" zoomScaleNormal="80" workbookViewId="0">
      <selection activeCell="E222" sqref="E222"/>
    </sheetView>
  </sheetViews>
  <sheetFormatPr defaultRowHeight="15.75" x14ac:dyDescent="0.25"/>
  <cols>
    <col min="1" max="1" width="4" style="1" customWidth="1"/>
    <col min="2" max="2" width="30.5703125" style="1" customWidth="1"/>
    <col min="3" max="3" width="16.42578125" customWidth="1"/>
    <col min="4" max="4" width="18.140625" customWidth="1"/>
    <col min="5" max="5" width="15" customWidth="1"/>
    <col min="6" max="6" width="14.42578125" customWidth="1"/>
    <col min="7" max="7" width="15.42578125" customWidth="1"/>
    <col min="8" max="8" width="18.85546875" style="64" customWidth="1"/>
    <col min="9" max="9" width="15.28515625" style="64" customWidth="1"/>
    <col min="10" max="10" width="12.85546875" style="64" customWidth="1"/>
    <col min="11" max="11" width="15.42578125" style="64" customWidth="1"/>
    <col min="12" max="12" width="17.7109375" style="64" customWidth="1"/>
    <col min="13" max="13" width="15.42578125" style="64" customWidth="1"/>
    <col min="14" max="14" width="13.140625" style="64" customWidth="1"/>
    <col min="15" max="15" width="15.85546875" style="64" customWidth="1"/>
    <col min="16" max="16" width="0.85546875" customWidth="1"/>
    <col min="17" max="17" width="2" hidden="1" customWidth="1"/>
    <col min="18" max="18" width="18.140625" style="60" customWidth="1"/>
    <col min="19" max="19" width="14.5703125" style="60" customWidth="1"/>
    <col min="20" max="20" width="3.85546875" customWidth="1"/>
    <col min="21" max="21" width="0" hidden="1" customWidth="1"/>
    <col min="22" max="22" width="14.140625" style="60" bestFit="1" customWidth="1"/>
    <col min="23" max="23" width="16.28515625" style="60" bestFit="1" customWidth="1"/>
    <col min="24" max="24" width="14.42578125" style="60" customWidth="1"/>
    <col min="25" max="25" width="15.85546875" style="60" customWidth="1"/>
    <col min="26" max="26" width="15" style="60" bestFit="1" customWidth="1"/>
    <col min="29" max="29" width="13.140625" style="97" bestFit="1" customWidth="1"/>
    <col min="30" max="30" width="15" style="97" customWidth="1"/>
    <col min="31" max="31" width="11.5703125" style="97" customWidth="1"/>
    <col min="32" max="32" width="14.5703125" style="97" customWidth="1"/>
    <col min="33" max="33" width="9.140625" style="92"/>
    <col min="34" max="34" width="14.85546875" style="97" customWidth="1"/>
  </cols>
  <sheetData>
    <row r="1" spans="1:34" x14ac:dyDescent="0.25">
      <c r="A1" s="161" t="s">
        <v>94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</row>
    <row r="2" spans="1:34" hidden="1" x14ac:dyDescent="0.25">
      <c r="A2" s="5"/>
    </row>
    <row r="3" spans="1:34" s="4" customFormat="1" ht="28.5" hidden="1" customHeight="1" x14ac:dyDescent="0.25">
      <c r="A3" s="152" t="s">
        <v>17</v>
      </c>
      <c r="B3" s="152" t="s">
        <v>33</v>
      </c>
      <c r="C3" s="152" t="s">
        <v>35</v>
      </c>
      <c r="D3" s="152" t="s">
        <v>69</v>
      </c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R3" s="61"/>
      <c r="S3" s="61"/>
      <c r="V3" s="61"/>
      <c r="W3" s="61"/>
      <c r="X3" s="61"/>
      <c r="Y3" s="61"/>
      <c r="Z3" s="61"/>
      <c r="AC3" s="95"/>
      <c r="AD3" s="95"/>
      <c r="AE3" s="95"/>
      <c r="AF3" s="95"/>
      <c r="AG3" s="93"/>
      <c r="AH3" s="95"/>
    </row>
    <row r="4" spans="1:34" s="4" customFormat="1" ht="41.25" hidden="1" customHeight="1" x14ac:dyDescent="0.25">
      <c r="A4" s="152"/>
      <c r="B4" s="152"/>
      <c r="C4" s="152"/>
      <c r="D4" s="154" t="s">
        <v>36</v>
      </c>
      <c r="E4" s="154"/>
      <c r="F4" s="154"/>
      <c r="G4" s="154"/>
      <c r="H4" s="155" t="s">
        <v>37</v>
      </c>
      <c r="I4" s="156"/>
      <c r="J4" s="156"/>
      <c r="K4" s="157"/>
      <c r="L4" s="155" t="s">
        <v>38</v>
      </c>
      <c r="M4" s="156"/>
      <c r="N4" s="156"/>
      <c r="O4" s="157"/>
      <c r="R4" s="61"/>
      <c r="S4" s="61"/>
      <c r="V4" s="61"/>
      <c r="W4" s="61"/>
      <c r="X4" s="61"/>
      <c r="Y4" s="61"/>
      <c r="Z4" s="61"/>
      <c r="AC4" s="95"/>
      <c r="AD4" s="95"/>
      <c r="AE4" s="95"/>
      <c r="AF4" s="95"/>
      <c r="AG4" s="93"/>
      <c r="AH4" s="95"/>
    </row>
    <row r="5" spans="1:34" s="4" customFormat="1" ht="59.25" hidden="1" customHeight="1" x14ac:dyDescent="0.25">
      <c r="A5" s="152"/>
      <c r="B5" s="152"/>
      <c r="C5" s="152"/>
      <c r="D5" s="17" t="s">
        <v>66</v>
      </c>
      <c r="E5" s="17" t="s">
        <v>67</v>
      </c>
      <c r="F5" s="17" t="s">
        <v>68</v>
      </c>
      <c r="G5" s="17" t="s">
        <v>70</v>
      </c>
      <c r="H5" s="65" t="s">
        <v>66</v>
      </c>
      <c r="I5" s="65" t="s">
        <v>67</v>
      </c>
      <c r="J5" s="65" t="s">
        <v>68</v>
      </c>
      <c r="K5" s="65" t="s">
        <v>71</v>
      </c>
      <c r="L5" s="65" t="s">
        <v>66</v>
      </c>
      <c r="M5" s="65" t="s">
        <v>67</v>
      </c>
      <c r="N5" s="65" t="s">
        <v>68</v>
      </c>
      <c r="O5" s="65" t="s">
        <v>72</v>
      </c>
      <c r="R5" s="61"/>
      <c r="S5" s="61"/>
      <c r="V5" s="61"/>
      <c r="W5" s="61"/>
      <c r="X5" s="61"/>
      <c r="Y5" s="61"/>
      <c r="Z5" s="61"/>
      <c r="AC5" s="95"/>
      <c r="AD5" s="95"/>
      <c r="AE5" s="95"/>
      <c r="AF5" s="95"/>
      <c r="AG5" s="93"/>
      <c r="AH5" s="95"/>
    </row>
    <row r="6" spans="1:34" s="3" customFormat="1" ht="14.25" hidden="1" customHeight="1" x14ac:dyDescent="0.25">
      <c r="A6" s="53">
        <v>1</v>
      </c>
      <c r="B6" s="53">
        <v>2</v>
      </c>
      <c r="C6" s="53">
        <v>3</v>
      </c>
      <c r="D6" s="53">
        <v>4</v>
      </c>
      <c r="E6" s="53">
        <v>5</v>
      </c>
      <c r="F6" s="53">
        <v>6</v>
      </c>
      <c r="G6" s="53">
        <v>7</v>
      </c>
      <c r="H6" s="66">
        <v>8</v>
      </c>
      <c r="I6" s="66">
        <v>9</v>
      </c>
      <c r="J6" s="66">
        <v>10</v>
      </c>
      <c r="K6" s="66">
        <v>11</v>
      </c>
      <c r="L6" s="66">
        <v>12</v>
      </c>
      <c r="M6" s="66">
        <v>13</v>
      </c>
      <c r="N6" s="66">
        <v>14</v>
      </c>
      <c r="O6" s="66">
        <v>15</v>
      </c>
      <c r="R6" s="61"/>
      <c r="S6" s="61"/>
      <c r="V6" s="61"/>
      <c r="W6" s="61"/>
      <c r="X6" s="61"/>
      <c r="Y6" s="61"/>
      <c r="Z6" s="61"/>
      <c r="AC6" s="95"/>
      <c r="AD6" s="95"/>
      <c r="AE6" s="95"/>
      <c r="AF6" s="95"/>
      <c r="AG6" s="94"/>
      <c r="AH6" s="95"/>
    </row>
    <row r="7" spans="1:34" s="3" customFormat="1" ht="25.5" hidden="1" customHeight="1" x14ac:dyDescent="0.25">
      <c r="A7" s="53" t="s">
        <v>16</v>
      </c>
      <c r="B7" s="54" t="s">
        <v>15</v>
      </c>
      <c r="C7" s="55">
        <v>4314741</v>
      </c>
      <c r="D7" s="55">
        <v>127106</v>
      </c>
      <c r="E7" s="55">
        <v>546123</v>
      </c>
      <c r="F7" s="55">
        <v>0</v>
      </c>
      <c r="G7" s="55">
        <f>D7+E7+F7</f>
        <v>673229</v>
      </c>
      <c r="H7" s="63">
        <v>535957</v>
      </c>
      <c r="I7" s="63">
        <v>2302797</v>
      </c>
      <c r="J7" s="63">
        <v>0</v>
      </c>
      <c r="K7" s="63">
        <f>H7+I7+J7</f>
        <v>2838754</v>
      </c>
      <c r="L7" s="63">
        <v>151561</v>
      </c>
      <c r="M7" s="63">
        <v>651197</v>
      </c>
      <c r="N7" s="63">
        <v>0</v>
      </c>
      <c r="O7" s="63">
        <f>L7+M7+N7</f>
        <v>802758</v>
      </c>
      <c r="R7" s="62">
        <f>G7+K7+O7</f>
        <v>4314741</v>
      </c>
      <c r="S7" s="62">
        <f>R7-C7</f>
        <v>0</v>
      </c>
      <c r="V7" s="61"/>
      <c r="W7" s="61"/>
      <c r="X7" s="61"/>
      <c r="Y7" s="61"/>
      <c r="Z7" s="61"/>
      <c r="AC7" s="95"/>
      <c r="AD7" s="95"/>
      <c r="AE7" s="95"/>
      <c r="AF7" s="95"/>
      <c r="AG7" s="94"/>
      <c r="AH7" s="95"/>
    </row>
    <row r="8" spans="1:34" ht="40.5" hidden="1" customHeight="1" x14ac:dyDescent="0.25">
      <c r="A8" s="56" t="s">
        <v>24</v>
      </c>
      <c r="B8" s="54" t="s">
        <v>14</v>
      </c>
      <c r="C8" s="55">
        <v>309054</v>
      </c>
      <c r="D8" s="55">
        <v>36325</v>
      </c>
      <c r="E8" s="55">
        <v>26859</v>
      </c>
      <c r="F8" s="55">
        <v>858</v>
      </c>
      <c r="G8" s="55">
        <f t="shared" ref="G8:G24" si="0">D8+E8+F8</f>
        <v>64042</v>
      </c>
      <c r="H8" s="63">
        <v>106752</v>
      </c>
      <c r="I8" s="63">
        <v>78934</v>
      </c>
      <c r="J8" s="63">
        <v>2522</v>
      </c>
      <c r="K8" s="63">
        <f t="shared" ref="K8:K24" si="1">H8+I8+J8</f>
        <v>188208</v>
      </c>
      <c r="L8" s="63">
        <v>32219</v>
      </c>
      <c r="M8" s="63">
        <v>23824</v>
      </c>
      <c r="N8" s="63">
        <v>761</v>
      </c>
      <c r="O8" s="63">
        <f t="shared" ref="O8:O24" si="2">L8+M8+N8</f>
        <v>56804</v>
      </c>
      <c r="R8" s="62">
        <f t="shared" ref="R8:R25" si="3">G8+K8+O8</f>
        <v>309054</v>
      </c>
      <c r="S8" s="62">
        <f t="shared" ref="S8:S25" si="4">R8-C8</f>
        <v>0</v>
      </c>
    </row>
    <row r="9" spans="1:34" ht="34.5" hidden="1" customHeight="1" x14ac:dyDescent="0.25">
      <c r="A9" s="56" t="s">
        <v>23</v>
      </c>
      <c r="B9" s="54" t="s">
        <v>13</v>
      </c>
      <c r="C9" s="55">
        <v>2295265</v>
      </c>
      <c r="D9" s="55">
        <v>0</v>
      </c>
      <c r="E9" s="55">
        <v>130096</v>
      </c>
      <c r="F9" s="55">
        <v>0</v>
      </c>
      <c r="G9" s="55">
        <f t="shared" si="0"/>
        <v>130096</v>
      </c>
      <c r="H9" s="63">
        <v>0</v>
      </c>
      <c r="I9" s="63">
        <v>1928367</v>
      </c>
      <c r="J9" s="63">
        <v>0</v>
      </c>
      <c r="K9" s="63">
        <f t="shared" si="1"/>
        <v>1928367</v>
      </c>
      <c r="L9" s="63">
        <v>0</v>
      </c>
      <c r="M9" s="63">
        <v>236802</v>
      </c>
      <c r="N9" s="63">
        <v>0</v>
      </c>
      <c r="O9" s="63">
        <f t="shared" si="2"/>
        <v>236802</v>
      </c>
      <c r="R9" s="62">
        <f t="shared" si="3"/>
        <v>2295265</v>
      </c>
      <c r="S9" s="62">
        <f t="shared" si="4"/>
        <v>0</v>
      </c>
    </row>
    <row r="10" spans="1:34" ht="40.5" hidden="1" customHeight="1" x14ac:dyDescent="0.25">
      <c r="A10" s="56" t="s">
        <v>22</v>
      </c>
      <c r="B10" s="54" t="s">
        <v>12</v>
      </c>
      <c r="C10" s="55">
        <v>168181</v>
      </c>
      <c r="D10" s="55">
        <v>19346</v>
      </c>
      <c r="E10" s="55">
        <v>0</v>
      </c>
      <c r="F10" s="55">
        <v>0</v>
      </c>
      <c r="G10" s="55">
        <f t="shared" si="0"/>
        <v>19346</v>
      </c>
      <c r="H10" s="63">
        <v>125819</v>
      </c>
      <c r="I10" s="63">
        <v>0</v>
      </c>
      <c r="J10" s="63">
        <v>0</v>
      </c>
      <c r="K10" s="63">
        <f t="shared" si="1"/>
        <v>125819</v>
      </c>
      <c r="L10" s="63">
        <v>23016</v>
      </c>
      <c r="M10" s="63">
        <v>0</v>
      </c>
      <c r="N10" s="63">
        <v>0</v>
      </c>
      <c r="O10" s="63">
        <f t="shared" si="2"/>
        <v>23016</v>
      </c>
      <c r="R10" s="62">
        <f t="shared" si="3"/>
        <v>168181</v>
      </c>
      <c r="S10" s="62">
        <f t="shared" si="4"/>
        <v>0</v>
      </c>
    </row>
    <row r="11" spans="1:34" ht="39.75" hidden="1" customHeight="1" x14ac:dyDescent="0.25">
      <c r="A11" s="56" t="s">
        <v>21</v>
      </c>
      <c r="B11" s="54" t="s">
        <v>11</v>
      </c>
      <c r="C11" s="55">
        <v>180277</v>
      </c>
      <c r="D11" s="55">
        <v>7025</v>
      </c>
      <c r="E11" s="55">
        <v>11176</v>
      </c>
      <c r="F11" s="55">
        <v>4847</v>
      </c>
      <c r="G11" s="55">
        <f t="shared" si="0"/>
        <v>23048</v>
      </c>
      <c r="H11" s="63">
        <v>37267</v>
      </c>
      <c r="I11" s="63">
        <v>59287</v>
      </c>
      <c r="J11" s="63">
        <v>25712</v>
      </c>
      <c r="K11" s="63">
        <f t="shared" si="1"/>
        <v>122266</v>
      </c>
      <c r="L11" s="63">
        <v>10657</v>
      </c>
      <c r="M11" s="63">
        <v>16953</v>
      </c>
      <c r="N11" s="63">
        <v>7353</v>
      </c>
      <c r="O11" s="63">
        <f t="shared" si="2"/>
        <v>34963</v>
      </c>
      <c r="R11" s="62">
        <f t="shared" si="3"/>
        <v>180277</v>
      </c>
      <c r="S11" s="62">
        <f t="shared" si="4"/>
        <v>0</v>
      </c>
    </row>
    <row r="12" spans="1:34" ht="28.5" hidden="1" customHeight="1" x14ac:dyDescent="0.25">
      <c r="A12" s="56" t="s">
        <v>20</v>
      </c>
      <c r="B12" s="54" t="s">
        <v>34</v>
      </c>
      <c r="C12" s="55">
        <v>336047</v>
      </c>
      <c r="D12" s="55">
        <v>62901</v>
      </c>
      <c r="E12" s="55">
        <v>0</v>
      </c>
      <c r="F12" s="55">
        <v>0</v>
      </c>
      <c r="G12" s="55">
        <f t="shared" si="0"/>
        <v>62901</v>
      </c>
      <c r="H12" s="63">
        <v>205315</v>
      </c>
      <c r="I12" s="63">
        <v>0</v>
      </c>
      <c r="J12" s="63">
        <v>0</v>
      </c>
      <c r="K12" s="63">
        <f t="shared" si="1"/>
        <v>205315</v>
      </c>
      <c r="L12" s="63">
        <v>67831</v>
      </c>
      <c r="M12" s="63">
        <v>0</v>
      </c>
      <c r="N12" s="63">
        <v>0</v>
      </c>
      <c r="O12" s="63">
        <f t="shared" si="2"/>
        <v>67831</v>
      </c>
      <c r="R12" s="62">
        <f t="shared" si="3"/>
        <v>336047</v>
      </c>
      <c r="S12" s="62">
        <f t="shared" si="4"/>
        <v>0</v>
      </c>
    </row>
    <row r="13" spans="1:34" ht="34.5" hidden="1" customHeight="1" x14ac:dyDescent="0.25">
      <c r="A13" s="56" t="s">
        <v>19</v>
      </c>
      <c r="B13" s="54" t="s">
        <v>10</v>
      </c>
      <c r="C13" s="55">
        <v>1356259</v>
      </c>
      <c r="D13" s="55">
        <v>29466</v>
      </c>
      <c r="E13" s="55">
        <v>38540</v>
      </c>
      <c r="F13" s="55">
        <v>1801</v>
      </c>
      <c r="G13" s="55">
        <f t="shared" si="0"/>
        <v>69807</v>
      </c>
      <c r="H13" s="63">
        <v>458279</v>
      </c>
      <c r="I13" s="63">
        <v>599422</v>
      </c>
      <c r="J13" s="63">
        <v>28011</v>
      </c>
      <c r="K13" s="63">
        <f t="shared" si="1"/>
        <v>1085712</v>
      </c>
      <c r="L13" s="63">
        <v>84732</v>
      </c>
      <c r="M13" s="63">
        <v>110829</v>
      </c>
      <c r="N13" s="63">
        <v>5179</v>
      </c>
      <c r="O13" s="63">
        <f t="shared" si="2"/>
        <v>200740</v>
      </c>
      <c r="R13" s="62">
        <f t="shared" si="3"/>
        <v>1356259</v>
      </c>
      <c r="S13" s="62">
        <f t="shared" si="4"/>
        <v>0</v>
      </c>
    </row>
    <row r="14" spans="1:34" ht="25.5" hidden="1" customHeight="1" x14ac:dyDescent="0.25">
      <c r="A14" s="56" t="s">
        <v>18</v>
      </c>
      <c r="B14" s="54" t="s">
        <v>9</v>
      </c>
      <c r="C14" s="55">
        <v>1037979</v>
      </c>
      <c r="D14" s="55">
        <v>93103</v>
      </c>
      <c r="E14" s="55">
        <v>153230</v>
      </c>
      <c r="F14" s="55">
        <v>3675</v>
      </c>
      <c r="G14" s="55">
        <f t="shared" si="0"/>
        <v>250008</v>
      </c>
      <c r="H14" s="63">
        <v>290912</v>
      </c>
      <c r="I14" s="63">
        <v>478787</v>
      </c>
      <c r="J14" s="63">
        <v>11483</v>
      </c>
      <c r="K14" s="63">
        <f t="shared" si="1"/>
        <v>781182</v>
      </c>
      <c r="L14" s="63">
        <v>2528</v>
      </c>
      <c r="M14" s="63">
        <v>4161</v>
      </c>
      <c r="N14" s="63">
        <v>100</v>
      </c>
      <c r="O14" s="63">
        <f t="shared" si="2"/>
        <v>6789</v>
      </c>
      <c r="R14" s="62">
        <f t="shared" si="3"/>
        <v>1037979</v>
      </c>
      <c r="S14" s="62">
        <f t="shared" si="4"/>
        <v>0</v>
      </c>
    </row>
    <row r="15" spans="1:34" ht="25.5" hidden="1" customHeight="1" x14ac:dyDescent="0.25">
      <c r="A15" s="56" t="s">
        <v>25</v>
      </c>
      <c r="B15" s="54" t="s">
        <v>8</v>
      </c>
      <c r="C15" s="55">
        <v>1719749</v>
      </c>
      <c r="D15" s="55">
        <v>12886</v>
      </c>
      <c r="E15" s="55">
        <v>55044</v>
      </c>
      <c r="F15" s="55">
        <v>0</v>
      </c>
      <c r="G15" s="55">
        <f t="shared" si="0"/>
        <v>67930</v>
      </c>
      <c r="H15" s="63">
        <v>209144</v>
      </c>
      <c r="I15" s="63">
        <v>893353</v>
      </c>
      <c r="J15" s="63">
        <v>0</v>
      </c>
      <c r="K15" s="63">
        <f t="shared" si="1"/>
        <v>1102497</v>
      </c>
      <c r="L15" s="63">
        <v>104206</v>
      </c>
      <c r="M15" s="63">
        <v>445116</v>
      </c>
      <c r="N15" s="63">
        <v>0</v>
      </c>
      <c r="O15" s="63">
        <f t="shared" si="2"/>
        <v>549322</v>
      </c>
      <c r="R15" s="62">
        <f t="shared" si="3"/>
        <v>1719749</v>
      </c>
      <c r="S15" s="62">
        <f t="shared" si="4"/>
        <v>0</v>
      </c>
    </row>
    <row r="16" spans="1:34" ht="25.5" hidden="1" customHeight="1" x14ac:dyDescent="0.25">
      <c r="A16" s="56" t="s">
        <v>26</v>
      </c>
      <c r="B16" s="54" t="s">
        <v>7</v>
      </c>
      <c r="C16" s="55">
        <v>1042162</v>
      </c>
      <c r="D16" s="55">
        <v>2275</v>
      </c>
      <c r="E16" s="55">
        <v>16765</v>
      </c>
      <c r="F16" s="55">
        <v>0</v>
      </c>
      <c r="G16" s="55">
        <f t="shared" si="0"/>
        <v>19040</v>
      </c>
      <c r="H16" s="63">
        <v>111161</v>
      </c>
      <c r="I16" s="63">
        <v>819052</v>
      </c>
      <c r="J16" s="63">
        <v>0</v>
      </c>
      <c r="K16" s="63">
        <f t="shared" si="1"/>
        <v>930213</v>
      </c>
      <c r="L16" s="63">
        <v>11103</v>
      </c>
      <c r="M16" s="63">
        <v>81806</v>
      </c>
      <c r="N16" s="63">
        <v>0</v>
      </c>
      <c r="O16" s="63">
        <f t="shared" si="2"/>
        <v>92909</v>
      </c>
      <c r="R16" s="62">
        <f t="shared" si="3"/>
        <v>1042162</v>
      </c>
      <c r="S16" s="62">
        <f t="shared" si="4"/>
        <v>0</v>
      </c>
    </row>
    <row r="17" spans="1:34" ht="25.5" hidden="1" customHeight="1" x14ac:dyDescent="0.25">
      <c r="A17" s="56" t="s">
        <v>27</v>
      </c>
      <c r="B17" s="54" t="s">
        <v>6</v>
      </c>
      <c r="C17" s="55">
        <v>839591</v>
      </c>
      <c r="D17" s="55">
        <v>3517</v>
      </c>
      <c r="E17" s="55">
        <v>2240</v>
      </c>
      <c r="F17" s="55">
        <v>94</v>
      </c>
      <c r="G17" s="55">
        <f t="shared" si="0"/>
        <v>5851</v>
      </c>
      <c r="H17" s="63">
        <v>500321</v>
      </c>
      <c r="I17" s="63">
        <v>318757</v>
      </c>
      <c r="J17" s="63">
        <v>13403</v>
      </c>
      <c r="K17" s="63">
        <f t="shared" si="1"/>
        <v>832481</v>
      </c>
      <c r="L17" s="63">
        <v>757</v>
      </c>
      <c r="M17" s="63">
        <v>482</v>
      </c>
      <c r="N17" s="63">
        <v>20</v>
      </c>
      <c r="O17" s="63">
        <f t="shared" si="2"/>
        <v>1259</v>
      </c>
      <c r="R17" s="62">
        <f t="shared" si="3"/>
        <v>839591</v>
      </c>
      <c r="S17" s="62">
        <f t="shared" si="4"/>
        <v>0</v>
      </c>
    </row>
    <row r="18" spans="1:34" ht="25.5" hidden="1" customHeight="1" x14ac:dyDescent="0.25">
      <c r="A18" s="56" t="s">
        <v>28</v>
      </c>
      <c r="B18" s="54" t="s">
        <v>5</v>
      </c>
      <c r="C18" s="55">
        <v>728498</v>
      </c>
      <c r="D18" s="55">
        <v>20924</v>
      </c>
      <c r="E18" s="55">
        <v>74986</v>
      </c>
      <c r="F18" s="55">
        <v>4878</v>
      </c>
      <c r="G18" s="55">
        <f t="shared" si="0"/>
        <v>100788</v>
      </c>
      <c r="H18" s="63">
        <v>129044</v>
      </c>
      <c r="I18" s="63">
        <v>462469</v>
      </c>
      <c r="J18" s="63">
        <v>30085</v>
      </c>
      <c r="K18" s="63">
        <f t="shared" si="1"/>
        <v>621598</v>
      </c>
      <c r="L18" s="63">
        <v>1269</v>
      </c>
      <c r="M18" s="63">
        <v>4547</v>
      </c>
      <c r="N18" s="63">
        <v>296</v>
      </c>
      <c r="O18" s="63">
        <f t="shared" si="2"/>
        <v>6112</v>
      </c>
      <c r="R18" s="62">
        <f t="shared" si="3"/>
        <v>728498</v>
      </c>
      <c r="S18" s="62">
        <f t="shared" si="4"/>
        <v>0</v>
      </c>
    </row>
    <row r="19" spans="1:34" ht="25.5" hidden="1" customHeight="1" x14ac:dyDescent="0.25">
      <c r="A19" s="56" t="s">
        <v>29</v>
      </c>
      <c r="B19" s="54" t="s">
        <v>4</v>
      </c>
      <c r="C19" s="55">
        <v>711822</v>
      </c>
      <c r="D19" s="55">
        <v>13803</v>
      </c>
      <c r="E19" s="55">
        <v>23257</v>
      </c>
      <c r="F19" s="55">
        <v>966</v>
      </c>
      <c r="G19" s="55">
        <f t="shared" si="0"/>
        <v>38026</v>
      </c>
      <c r="H19" s="63">
        <v>236508</v>
      </c>
      <c r="I19" s="63">
        <v>398480</v>
      </c>
      <c r="J19" s="63">
        <v>16549</v>
      </c>
      <c r="K19" s="63">
        <f t="shared" si="1"/>
        <v>651537</v>
      </c>
      <c r="L19" s="63">
        <v>8080</v>
      </c>
      <c r="M19" s="63">
        <v>13613</v>
      </c>
      <c r="N19" s="63">
        <v>566</v>
      </c>
      <c r="O19" s="63">
        <f t="shared" si="2"/>
        <v>22259</v>
      </c>
      <c r="R19" s="62">
        <f t="shared" si="3"/>
        <v>711822</v>
      </c>
      <c r="S19" s="62">
        <f t="shared" si="4"/>
        <v>0</v>
      </c>
    </row>
    <row r="20" spans="1:34" ht="25.5" hidden="1" customHeight="1" x14ac:dyDescent="0.25">
      <c r="A20" s="56">
        <v>14</v>
      </c>
      <c r="B20" s="54" t="s">
        <v>3</v>
      </c>
      <c r="C20" s="55">
        <v>913731</v>
      </c>
      <c r="D20" s="55">
        <v>43796</v>
      </c>
      <c r="E20" s="55">
        <v>21561</v>
      </c>
      <c r="F20" s="55">
        <v>2022</v>
      </c>
      <c r="G20" s="55">
        <f t="shared" si="0"/>
        <v>67379</v>
      </c>
      <c r="H20" s="63">
        <v>489335</v>
      </c>
      <c r="I20" s="63">
        <v>240903</v>
      </c>
      <c r="J20" s="63">
        <v>22585</v>
      </c>
      <c r="K20" s="63">
        <f t="shared" si="1"/>
        <v>752823</v>
      </c>
      <c r="L20" s="63">
        <v>60794</v>
      </c>
      <c r="M20" s="63">
        <v>29929</v>
      </c>
      <c r="N20" s="63">
        <v>2806</v>
      </c>
      <c r="O20" s="63">
        <f t="shared" si="2"/>
        <v>93529</v>
      </c>
      <c r="R20" s="62">
        <f t="shared" si="3"/>
        <v>913731</v>
      </c>
      <c r="S20" s="62">
        <f t="shared" si="4"/>
        <v>0</v>
      </c>
    </row>
    <row r="21" spans="1:34" ht="54" hidden="1" customHeight="1" x14ac:dyDescent="0.25">
      <c r="A21" s="56" t="s">
        <v>30</v>
      </c>
      <c r="B21" s="54" t="s">
        <v>2</v>
      </c>
      <c r="C21" s="55">
        <v>122863</v>
      </c>
      <c r="D21" s="55">
        <v>3479</v>
      </c>
      <c r="E21" s="55">
        <v>0</v>
      </c>
      <c r="F21" s="55">
        <v>0</v>
      </c>
      <c r="G21" s="55">
        <f t="shared" si="0"/>
        <v>3479</v>
      </c>
      <c r="H21" s="63">
        <v>102858</v>
      </c>
      <c r="I21" s="63">
        <v>0</v>
      </c>
      <c r="J21" s="63">
        <v>0</v>
      </c>
      <c r="K21" s="63">
        <f t="shared" si="1"/>
        <v>102858</v>
      </c>
      <c r="L21" s="63">
        <v>16526</v>
      </c>
      <c r="M21" s="63">
        <v>0</v>
      </c>
      <c r="N21" s="63">
        <v>0</v>
      </c>
      <c r="O21" s="63">
        <f t="shared" si="2"/>
        <v>16526</v>
      </c>
      <c r="R21" s="62">
        <f t="shared" si="3"/>
        <v>122863</v>
      </c>
      <c r="S21" s="62">
        <f t="shared" si="4"/>
        <v>0</v>
      </c>
    </row>
    <row r="22" spans="1:34" ht="39.75" hidden="1" customHeight="1" x14ac:dyDescent="0.25">
      <c r="A22" s="56" t="s">
        <v>31</v>
      </c>
      <c r="B22" s="54" t="s">
        <v>1</v>
      </c>
      <c r="C22" s="55">
        <v>98753</v>
      </c>
      <c r="D22" s="55">
        <v>7345</v>
      </c>
      <c r="E22" s="55">
        <v>0</v>
      </c>
      <c r="F22" s="55">
        <v>0</v>
      </c>
      <c r="G22" s="55">
        <f t="shared" si="0"/>
        <v>7345</v>
      </c>
      <c r="H22" s="63">
        <v>87424</v>
      </c>
      <c r="I22" s="63">
        <v>0</v>
      </c>
      <c r="J22" s="63">
        <v>0</v>
      </c>
      <c r="K22" s="63">
        <f t="shared" si="1"/>
        <v>87424</v>
      </c>
      <c r="L22" s="63">
        <v>3984</v>
      </c>
      <c r="M22" s="63">
        <v>0</v>
      </c>
      <c r="N22" s="63">
        <v>0</v>
      </c>
      <c r="O22" s="63">
        <f t="shared" si="2"/>
        <v>3984</v>
      </c>
      <c r="R22" s="62">
        <f t="shared" si="3"/>
        <v>98753</v>
      </c>
      <c r="S22" s="62">
        <f t="shared" si="4"/>
        <v>0</v>
      </c>
    </row>
    <row r="23" spans="1:34" ht="33" hidden="1" customHeight="1" x14ac:dyDescent="0.25">
      <c r="A23" s="56" t="s">
        <v>32</v>
      </c>
      <c r="B23" s="54" t="s">
        <v>73</v>
      </c>
      <c r="C23" s="55">
        <v>41245</v>
      </c>
      <c r="D23" s="55">
        <v>8112</v>
      </c>
      <c r="E23" s="55">
        <v>0</v>
      </c>
      <c r="F23" s="55">
        <v>0</v>
      </c>
      <c r="G23" s="55">
        <f t="shared" si="0"/>
        <v>8112</v>
      </c>
      <c r="H23" s="63">
        <v>26556</v>
      </c>
      <c r="I23" s="63">
        <v>0</v>
      </c>
      <c r="J23" s="63">
        <v>0</v>
      </c>
      <c r="K23" s="63">
        <f t="shared" si="1"/>
        <v>26556</v>
      </c>
      <c r="L23" s="63">
        <v>6577</v>
      </c>
      <c r="M23" s="63">
        <v>0</v>
      </c>
      <c r="N23" s="63">
        <v>0</v>
      </c>
      <c r="O23" s="63">
        <f t="shared" si="2"/>
        <v>6577</v>
      </c>
      <c r="R23" s="62">
        <f t="shared" si="3"/>
        <v>41245</v>
      </c>
      <c r="S23" s="62">
        <f t="shared" si="4"/>
        <v>0</v>
      </c>
    </row>
    <row r="24" spans="1:34" ht="33" hidden="1" customHeight="1" x14ac:dyDescent="0.25">
      <c r="A24" s="56" t="s">
        <v>90</v>
      </c>
      <c r="B24" s="70" t="s">
        <v>91</v>
      </c>
      <c r="C24" s="55">
        <f>E24+I24+M24</f>
        <v>0</v>
      </c>
      <c r="D24" s="55">
        <v>0</v>
      </c>
      <c r="E24" s="55">
        <v>0</v>
      </c>
      <c r="F24" s="55">
        <v>0</v>
      </c>
      <c r="G24" s="55">
        <f t="shared" si="0"/>
        <v>0</v>
      </c>
      <c r="H24" s="63">
        <v>0</v>
      </c>
      <c r="I24" s="63">
        <v>0</v>
      </c>
      <c r="J24" s="63">
        <v>0</v>
      </c>
      <c r="K24" s="63">
        <f t="shared" si="1"/>
        <v>0</v>
      </c>
      <c r="L24" s="63">
        <v>0</v>
      </c>
      <c r="M24" s="63">
        <v>0</v>
      </c>
      <c r="N24" s="63">
        <v>0</v>
      </c>
      <c r="O24" s="63">
        <f t="shared" si="2"/>
        <v>0</v>
      </c>
      <c r="R24" s="62">
        <f t="shared" ref="R24" si="5">G24+K24+O24</f>
        <v>0</v>
      </c>
      <c r="S24" s="62">
        <f>R24-C24</f>
        <v>0</v>
      </c>
    </row>
    <row r="25" spans="1:34" ht="25.5" hidden="1" customHeight="1" x14ac:dyDescent="0.25">
      <c r="A25" s="57"/>
      <c r="B25" s="57" t="s">
        <v>0</v>
      </c>
      <c r="C25" s="58">
        <f>SUM(C7:C24)</f>
        <v>16216217</v>
      </c>
      <c r="D25" s="58">
        <f t="shared" ref="D25:O25" si="6">SUM(D7:D24)</f>
        <v>491409</v>
      </c>
      <c r="E25" s="58">
        <f t="shared" si="6"/>
        <v>1099877</v>
      </c>
      <c r="F25" s="58">
        <f t="shared" si="6"/>
        <v>19141</v>
      </c>
      <c r="G25" s="58">
        <f t="shared" si="6"/>
        <v>1610427</v>
      </c>
      <c r="H25" s="58">
        <f t="shared" si="6"/>
        <v>3652652</v>
      </c>
      <c r="I25" s="58">
        <f t="shared" si="6"/>
        <v>8580608</v>
      </c>
      <c r="J25" s="58">
        <f t="shared" si="6"/>
        <v>150350</v>
      </c>
      <c r="K25" s="58">
        <f t="shared" si="6"/>
        <v>12383610</v>
      </c>
      <c r="L25" s="58">
        <f t="shared" si="6"/>
        <v>585840</v>
      </c>
      <c r="M25" s="58">
        <f t="shared" si="6"/>
        <v>1619259</v>
      </c>
      <c r="N25" s="58">
        <f t="shared" si="6"/>
        <v>17081</v>
      </c>
      <c r="O25" s="58">
        <f t="shared" si="6"/>
        <v>2222180</v>
      </c>
      <c r="R25" s="62">
        <f t="shared" si="3"/>
        <v>16216217</v>
      </c>
      <c r="S25" s="62">
        <f t="shared" si="4"/>
        <v>0</v>
      </c>
    </row>
    <row r="26" spans="1:34" hidden="1" x14ac:dyDescent="0.25"/>
    <row r="27" spans="1:34" hidden="1" x14ac:dyDescent="0.25"/>
    <row r="28" spans="1:34" s="4" customFormat="1" ht="28.5" hidden="1" customHeight="1" x14ac:dyDescent="0.25">
      <c r="A28" s="152" t="s">
        <v>17</v>
      </c>
      <c r="B28" s="152" t="s">
        <v>33</v>
      </c>
      <c r="C28" s="152" t="s">
        <v>74</v>
      </c>
      <c r="D28" s="152" t="s">
        <v>69</v>
      </c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R28" s="61"/>
      <c r="S28" s="61"/>
      <c r="V28" s="61"/>
      <c r="W28" s="61"/>
      <c r="X28" s="61"/>
      <c r="Y28" s="61"/>
      <c r="Z28" s="61"/>
      <c r="AC28" s="95"/>
      <c r="AD28" s="95"/>
      <c r="AE28" s="95"/>
      <c r="AF28" s="95"/>
      <c r="AG28" s="93"/>
      <c r="AH28" s="95"/>
    </row>
    <row r="29" spans="1:34" s="4" customFormat="1" ht="41.25" hidden="1" customHeight="1" x14ac:dyDescent="0.25">
      <c r="A29" s="152"/>
      <c r="B29" s="152"/>
      <c r="C29" s="152"/>
      <c r="D29" s="154" t="s">
        <v>36</v>
      </c>
      <c r="E29" s="154"/>
      <c r="F29" s="154"/>
      <c r="G29" s="154"/>
      <c r="H29" s="155" t="s">
        <v>37</v>
      </c>
      <c r="I29" s="156"/>
      <c r="J29" s="156"/>
      <c r="K29" s="157"/>
      <c r="L29" s="155" t="s">
        <v>38</v>
      </c>
      <c r="M29" s="156"/>
      <c r="N29" s="156"/>
      <c r="O29" s="157"/>
      <c r="R29" s="61"/>
      <c r="S29" s="61"/>
      <c r="V29" s="61"/>
      <c r="W29" s="61"/>
      <c r="X29" s="61"/>
      <c r="Y29" s="61"/>
      <c r="Z29" s="61"/>
      <c r="AC29" s="95"/>
      <c r="AD29" s="95"/>
      <c r="AE29" s="95"/>
      <c r="AF29" s="95"/>
      <c r="AG29" s="93"/>
      <c r="AH29" s="95"/>
    </row>
    <row r="30" spans="1:34" s="4" customFormat="1" ht="59.25" hidden="1" customHeight="1" x14ac:dyDescent="0.25">
      <c r="A30" s="152"/>
      <c r="B30" s="152"/>
      <c r="C30" s="152"/>
      <c r="D30" s="59" t="s">
        <v>66</v>
      </c>
      <c r="E30" s="59" t="s">
        <v>67</v>
      </c>
      <c r="F30" s="59" t="s">
        <v>68</v>
      </c>
      <c r="G30" s="59" t="s">
        <v>70</v>
      </c>
      <c r="H30" s="65" t="s">
        <v>66</v>
      </c>
      <c r="I30" s="65" t="s">
        <v>67</v>
      </c>
      <c r="J30" s="65" t="s">
        <v>68</v>
      </c>
      <c r="K30" s="65" t="s">
        <v>71</v>
      </c>
      <c r="L30" s="65" t="s">
        <v>66</v>
      </c>
      <c r="M30" s="65" t="s">
        <v>67</v>
      </c>
      <c r="N30" s="65" t="s">
        <v>68</v>
      </c>
      <c r="O30" s="65" t="s">
        <v>72</v>
      </c>
      <c r="R30" s="61"/>
      <c r="S30" s="61"/>
      <c r="V30" s="61"/>
      <c r="W30" s="61"/>
      <c r="X30" s="61"/>
      <c r="Y30" s="61"/>
      <c r="Z30" s="61"/>
      <c r="AC30" s="95"/>
      <c r="AD30" s="95"/>
      <c r="AE30" s="95"/>
      <c r="AF30" s="95"/>
      <c r="AG30" s="93"/>
      <c r="AH30" s="95"/>
    </row>
    <row r="31" spans="1:34" s="3" customFormat="1" ht="14.25" hidden="1" customHeight="1" x14ac:dyDescent="0.25">
      <c r="A31" s="53">
        <v>1</v>
      </c>
      <c r="B31" s="53">
        <v>2</v>
      </c>
      <c r="C31" s="53">
        <v>3</v>
      </c>
      <c r="D31" s="53">
        <v>4</v>
      </c>
      <c r="E31" s="53">
        <v>5</v>
      </c>
      <c r="F31" s="53">
        <v>6</v>
      </c>
      <c r="G31" s="53">
        <v>7</v>
      </c>
      <c r="H31" s="66">
        <v>8</v>
      </c>
      <c r="I31" s="66">
        <v>9</v>
      </c>
      <c r="J31" s="66">
        <v>10</v>
      </c>
      <c r="K31" s="66">
        <v>11</v>
      </c>
      <c r="L31" s="66">
        <v>12</v>
      </c>
      <c r="M31" s="66">
        <v>13</v>
      </c>
      <c r="N31" s="66">
        <v>14</v>
      </c>
      <c r="O31" s="66">
        <v>15</v>
      </c>
      <c r="R31" s="61"/>
      <c r="S31" s="61"/>
      <c r="V31" s="61"/>
      <c r="W31" s="61"/>
      <c r="X31" s="61"/>
      <c r="Y31" s="61"/>
      <c r="Z31" s="61"/>
      <c r="AC31" s="95"/>
      <c r="AD31" s="95"/>
      <c r="AE31" s="95"/>
      <c r="AF31" s="95"/>
      <c r="AG31" s="94"/>
      <c r="AH31" s="95"/>
    </row>
    <row r="32" spans="1:34" s="3" customFormat="1" ht="25.5" hidden="1" customHeight="1" x14ac:dyDescent="0.25">
      <c r="A32" s="53" t="s">
        <v>16</v>
      </c>
      <c r="B32" s="54" t="s">
        <v>15</v>
      </c>
      <c r="C32" s="55">
        <v>4371020</v>
      </c>
      <c r="D32" s="55">
        <v>125694</v>
      </c>
      <c r="E32" s="55">
        <v>556316</v>
      </c>
      <c r="F32" s="55">
        <v>0</v>
      </c>
      <c r="G32" s="55">
        <f>D32+E32+F32</f>
        <v>682010</v>
      </c>
      <c r="H32" s="63">
        <v>530007</v>
      </c>
      <c r="I32" s="63">
        <v>2345775</v>
      </c>
      <c r="J32" s="63">
        <v>0</v>
      </c>
      <c r="K32" s="63">
        <f>H32+I32+J32</f>
        <v>2875782</v>
      </c>
      <c r="L32" s="63">
        <v>149878</v>
      </c>
      <c r="M32" s="63">
        <v>663350</v>
      </c>
      <c r="N32" s="63">
        <v>0</v>
      </c>
      <c r="O32" s="63">
        <f>L32+M32+N32</f>
        <v>813228</v>
      </c>
      <c r="R32" s="62">
        <f>G32+K32+O32</f>
        <v>4371020</v>
      </c>
      <c r="S32" s="62">
        <f>R32-C32</f>
        <v>0</v>
      </c>
      <c r="V32" s="61"/>
      <c r="W32" s="61"/>
      <c r="X32" s="61"/>
      <c r="Y32" s="61"/>
      <c r="Z32" s="61"/>
      <c r="AC32" s="95"/>
      <c r="AD32" s="95"/>
      <c r="AE32" s="95"/>
      <c r="AF32" s="95"/>
      <c r="AG32" s="94"/>
      <c r="AH32" s="95"/>
    </row>
    <row r="33" spans="1:19" customFormat="1" ht="40.5" hidden="1" customHeight="1" x14ac:dyDescent="0.25">
      <c r="A33" s="56" t="s">
        <v>24</v>
      </c>
      <c r="B33" s="54" t="s">
        <v>14</v>
      </c>
      <c r="C33" s="55">
        <v>304215</v>
      </c>
      <c r="D33" s="55">
        <v>35315</v>
      </c>
      <c r="E33" s="55">
        <v>26868</v>
      </c>
      <c r="F33" s="55">
        <v>857</v>
      </c>
      <c r="G33" s="55">
        <f t="shared" ref="G33:G49" si="7">D33+E33+F33</f>
        <v>63040</v>
      </c>
      <c r="H33" s="63">
        <v>103783</v>
      </c>
      <c r="I33" s="63">
        <v>78958</v>
      </c>
      <c r="J33" s="63">
        <v>2519</v>
      </c>
      <c r="K33" s="63">
        <f t="shared" ref="K33:K49" si="8">H33+I33+J33</f>
        <v>185260</v>
      </c>
      <c r="L33" s="63">
        <v>31324</v>
      </c>
      <c r="M33" s="63">
        <v>23831</v>
      </c>
      <c r="N33" s="63">
        <v>760</v>
      </c>
      <c r="O33" s="63">
        <f t="shared" ref="O33:O49" si="9">L33+M33+N33</f>
        <v>55915</v>
      </c>
      <c r="R33" s="62">
        <f t="shared" ref="R33:R50" si="10">G33+K33+O33</f>
        <v>304215</v>
      </c>
      <c r="S33" s="62">
        <f t="shared" ref="S33:S50" si="11">R33-C33</f>
        <v>0</v>
      </c>
    </row>
    <row r="34" spans="1:19" customFormat="1" ht="34.5" hidden="1" customHeight="1" x14ac:dyDescent="0.25">
      <c r="A34" s="56" t="s">
        <v>23</v>
      </c>
      <c r="B34" s="54" t="s">
        <v>13</v>
      </c>
      <c r="C34" s="55">
        <v>1781894</v>
      </c>
      <c r="D34" s="55">
        <v>0</v>
      </c>
      <c r="E34" s="55">
        <v>100998</v>
      </c>
      <c r="F34" s="55">
        <v>0</v>
      </c>
      <c r="G34" s="55">
        <f t="shared" si="7"/>
        <v>100998</v>
      </c>
      <c r="H34" s="63">
        <v>0</v>
      </c>
      <c r="I34" s="63">
        <v>1497058</v>
      </c>
      <c r="J34" s="63">
        <v>0</v>
      </c>
      <c r="K34" s="63">
        <f t="shared" si="8"/>
        <v>1497058</v>
      </c>
      <c r="L34" s="63">
        <v>0</v>
      </c>
      <c r="M34" s="63">
        <v>183838</v>
      </c>
      <c r="N34" s="63">
        <v>0</v>
      </c>
      <c r="O34" s="63">
        <f t="shared" si="9"/>
        <v>183838</v>
      </c>
      <c r="R34" s="62">
        <f t="shared" si="10"/>
        <v>1781894</v>
      </c>
      <c r="S34" s="62">
        <f t="shared" si="11"/>
        <v>0</v>
      </c>
    </row>
    <row r="35" spans="1:19" customFormat="1" ht="40.5" hidden="1" customHeight="1" x14ac:dyDescent="0.25">
      <c r="A35" s="56" t="s">
        <v>22</v>
      </c>
      <c r="B35" s="54" t="s">
        <v>12</v>
      </c>
      <c r="C35" s="55">
        <v>176179</v>
      </c>
      <c r="D35" s="55">
        <v>20266</v>
      </c>
      <c r="E35" s="55">
        <v>0</v>
      </c>
      <c r="F35" s="55">
        <v>0</v>
      </c>
      <c r="G35" s="55">
        <f t="shared" si="7"/>
        <v>20266</v>
      </c>
      <c r="H35" s="63">
        <v>131803</v>
      </c>
      <c r="I35" s="63">
        <v>0</v>
      </c>
      <c r="J35" s="63">
        <v>0</v>
      </c>
      <c r="K35" s="63">
        <f t="shared" si="8"/>
        <v>131803</v>
      </c>
      <c r="L35" s="63">
        <v>24110</v>
      </c>
      <c r="M35" s="63">
        <v>0</v>
      </c>
      <c r="N35" s="63">
        <v>0</v>
      </c>
      <c r="O35" s="63">
        <f t="shared" si="9"/>
        <v>24110</v>
      </c>
      <c r="R35" s="62">
        <f t="shared" si="10"/>
        <v>176179</v>
      </c>
      <c r="S35" s="62">
        <f t="shared" si="11"/>
        <v>0</v>
      </c>
    </row>
    <row r="36" spans="1:19" customFormat="1" ht="39.75" hidden="1" customHeight="1" x14ac:dyDescent="0.25">
      <c r="A36" s="56" t="s">
        <v>21</v>
      </c>
      <c r="B36" s="54" t="s">
        <v>11</v>
      </c>
      <c r="C36" s="55">
        <v>163620</v>
      </c>
      <c r="D36" s="55">
        <v>6380</v>
      </c>
      <c r="E36" s="55">
        <v>10144</v>
      </c>
      <c r="F36" s="55">
        <v>4395</v>
      </c>
      <c r="G36" s="55">
        <f t="shared" si="7"/>
        <v>20919</v>
      </c>
      <c r="H36" s="63">
        <v>33845</v>
      </c>
      <c r="I36" s="63">
        <v>53809</v>
      </c>
      <c r="J36" s="63">
        <v>23315</v>
      </c>
      <c r="K36" s="63">
        <f t="shared" si="8"/>
        <v>110969</v>
      </c>
      <c r="L36" s="63">
        <v>9678</v>
      </c>
      <c r="M36" s="63">
        <v>15387</v>
      </c>
      <c r="N36" s="63">
        <v>6667</v>
      </c>
      <c r="O36" s="63">
        <f t="shared" si="9"/>
        <v>31732</v>
      </c>
      <c r="R36" s="62">
        <f t="shared" si="10"/>
        <v>163620</v>
      </c>
      <c r="S36" s="62">
        <f t="shared" si="11"/>
        <v>0</v>
      </c>
    </row>
    <row r="37" spans="1:19" customFormat="1" ht="28.5" hidden="1" customHeight="1" x14ac:dyDescent="0.25">
      <c r="A37" s="56" t="s">
        <v>20</v>
      </c>
      <c r="B37" s="54" t="s">
        <v>34</v>
      </c>
      <c r="C37" s="55">
        <v>312044</v>
      </c>
      <c r="D37" s="55">
        <v>58408</v>
      </c>
      <c r="E37" s="55">
        <v>0</v>
      </c>
      <c r="F37" s="55">
        <v>0</v>
      </c>
      <c r="G37" s="55">
        <f t="shared" si="7"/>
        <v>58408</v>
      </c>
      <c r="H37" s="63">
        <v>190650</v>
      </c>
      <c r="I37" s="63">
        <v>0</v>
      </c>
      <c r="J37" s="63">
        <v>0</v>
      </c>
      <c r="K37" s="63">
        <f t="shared" si="8"/>
        <v>190650</v>
      </c>
      <c r="L37" s="63">
        <v>62986</v>
      </c>
      <c r="M37" s="63">
        <v>0</v>
      </c>
      <c r="N37" s="63">
        <v>0</v>
      </c>
      <c r="O37" s="63">
        <f t="shared" si="9"/>
        <v>62986</v>
      </c>
      <c r="R37" s="62">
        <f t="shared" si="10"/>
        <v>312044</v>
      </c>
      <c r="S37" s="62">
        <f t="shared" si="11"/>
        <v>0</v>
      </c>
    </row>
    <row r="38" spans="1:19" customFormat="1" ht="34.5" hidden="1" customHeight="1" x14ac:dyDescent="0.25">
      <c r="A38" s="56" t="s">
        <v>19</v>
      </c>
      <c r="B38" s="54" t="s">
        <v>10</v>
      </c>
      <c r="C38" s="55">
        <v>1045005</v>
      </c>
      <c r="D38" s="55">
        <v>22692</v>
      </c>
      <c r="E38" s="55">
        <v>29679</v>
      </c>
      <c r="F38" s="55">
        <v>1415</v>
      </c>
      <c r="G38" s="55">
        <f t="shared" si="7"/>
        <v>53786</v>
      </c>
      <c r="H38" s="63">
        <v>352939</v>
      </c>
      <c r="I38" s="63">
        <v>461607</v>
      </c>
      <c r="J38" s="63">
        <v>22001</v>
      </c>
      <c r="K38" s="63">
        <f t="shared" si="8"/>
        <v>836547</v>
      </c>
      <c r="L38" s="63">
        <v>65256</v>
      </c>
      <c r="M38" s="63">
        <v>85348</v>
      </c>
      <c r="N38" s="63">
        <v>4068</v>
      </c>
      <c r="O38" s="63">
        <f t="shared" si="9"/>
        <v>154672</v>
      </c>
      <c r="R38" s="62">
        <f t="shared" si="10"/>
        <v>1045005</v>
      </c>
      <c r="S38" s="62">
        <f t="shared" si="11"/>
        <v>0</v>
      </c>
    </row>
    <row r="39" spans="1:19" customFormat="1" ht="25.5" hidden="1" customHeight="1" x14ac:dyDescent="0.25">
      <c r="A39" s="56" t="s">
        <v>18</v>
      </c>
      <c r="B39" s="54" t="s">
        <v>9</v>
      </c>
      <c r="C39" s="55">
        <v>865822</v>
      </c>
      <c r="D39" s="55">
        <v>81561</v>
      </c>
      <c r="E39" s="55">
        <v>123290</v>
      </c>
      <c r="F39" s="55">
        <v>3691</v>
      </c>
      <c r="G39" s="55">
        <f t="shared" si="7"/>
        <v>208542</v>
      </c>
      <c r="H39" s="63">
        <v>254848</v>
      </c>
      <c r="I39" s="63">
        <v>385236</v>
      </c>
      <c r="J39" s="63">
        <v>11534</v>
      </c>
      <c r="K39" s="63">
        <f t="shared" si="8"/>
        <v>651618</v>
      </c>
      <c r="L39" s="63">
        <v>2214</v>
      </c>
      <c r="M39" s="63">
        <v>3348</v>
      </c>
      <c r="N39" s="63">
        <v>100</v>
      </c>
      <c r="O39" s="63">
        <f t="shared" si="9"/>
        <v>5662</v>
      </c>
      <c r="R39" s="62">
        <f t="shared" si="10"/>
        <v>865822</v>
      </c>
      <c r="S39" s="62">
        <f t="shared" si="11"/>
        <v>0</v>
      </c>
    </row>
    <row r="40" spans="1:19" customFormat="1" ht="25.5" hidden="1" customHeight="1" x14ac:dyDescent="0.25">
      <c r="A40" s="56" t="s">
        <v>25</v>
      </c>
      <c r="B40" s="54" t="s">
        <v>8</v>
      </c>
      <c r="C40" s="55">
        <v>1445885</v>
      </c>
      <c r="D40" s="55">
        <v>10886</v>
      </c>
      <c r="E40" s="55">
        <v>46227</v>
      </c>
      <c r="F40" s="55">
        <v>0</v>
      </c>
      <c r="G40" s="55">
        <f t="shared" si="7"/>
        <v>57113</v>
      </c>
      <c r="H40" s="63">
        <v>176672</v>
      </c>
      <c r="I40" s="63">
        <v>750255</v>
      </c>
      <c r="J40" s="63">
        <v>0</v>
      </c>
      <c r="K40" s="63">
        <f t="shared" si="8"/>
        <v>926927</v>
      </c>
      <c r="L40" s="63">
        <v>88028</v>
      </c>
      <c r="M40" s="63">
        <v>373817</v>
      </c>
      <c r="N40" s="63">
        <v>0</v>
      </c>
      <c r="O40" s="63">
        <f t="shared" si="9"/>
        <v>461845</v>
      </c>
      <c r="R40" s="62">
        <f t="shared" si="10"/>
        <v>1445885</v>
      </c>
      <c r="S40" s="62">
        <f t="shared" si="11"/>
        <v>0</v>
      </c>
    </row>
    <row r="41" spans="1:19" customFormat="1" ht="25.5" hidden="1" customHeight="1" x14ac:dyDescent="0.25">
      <c r="A41" s="56" t="s">
        <v>26</v>
      </c>
      <c r="B41" s="54" t="s">
        <v>7</v>
      </c>
      <c r="C41" s="55">
        <v>937588</v>
      </c>
      <c r="D41" s="55">
        <v>2063</v>
      </c>
      <c r="E41" s="55">
        <v>15067</v>
      </c>
      <c r="F41" s="55">
        <v>0</v>
      </c>
      <c r="G41" s="55">
        <f t="shared" si="7"/>
        <v>17130</v>
      </c>
      <c r="H41" s="63">
        <v>100759</v>
      </c>
      <c r="I41" s="63">
        <v>736113</v>
      </c>
      <c r="J41" s="63">
        <v>0</v>
      </c>
      <c r="K41" s="63">
        <f t="shared" si="8"/>
        <v>836872</v>
      </c>
      <c r="L41" s="63">
        <v>10064</v>
      </c>
      <c r="M41" s="63">
        <v>73522</v>
      </c>
      <c r="N41" s="63">
        <v>0</v>
      </c>
      <c r="O41" s="63">
        <f t="shared" si="9"/>
        <v>83586</v>
      </c>
      <c r="R41" s="62">
        <f t="shared" si="10"/>
        <v>937588</v>
      </c>
      <c r="S41" s="62">
        <f t="shared" si="11"/>
        <v>0</v>
      </c>
    </row>
    <row r="42" spans="1:19" customFormat="1" ht="25.5" hidden="1" customHeight="1" x14ac:dyDescent="0.25">
      <c r="A42" s="56" t="s">
        <v>27</v>
      </c>
      <c r="B42" s="54" t="s">
        <v>6</v>
      </c>
      <c r="C42" s="55">
        <v>651668</v>
      </c>
      <c r="D42" s="55">
        <v>2626</v>
      </c>
      <c r="E42" s="55">
        <v>1843</v>
      </c>
      <c r="F42" s="55">
        <v>73</v>
      </c>
      <c r="G42" s="55">
        <f t="shared" si="7"/>
        <v>4542</v>
      </c>
      <c r="H42" s="63">
        <v>373539</v>
      </c>
      <c r="I42" s="63">
        <v>262207</v>
      </c>
      <c r="J42" s="63">
        <v>10403</v>
      </c>
      <c r="K42" s="63">
        <f t="shared" si="8"/>
        <v>646149</v>
      </c>
      <c r="L42" s="63">
        <v>565</v>
      </c>
      <c r="M42" s="63">
        <v>397</v>
      </c>
      <c r="N42" s="63">
        <v>15</v>
      </c>
      <c r="O42" s="63">
        <f t="shared" si="9"/>
        <v>977</v>
      </c>
      <c r="R42" s="62">
        <f t="shared" si="10"/>
        <v>651668</v>
      </c>
      <c r="S42" s="62">
        <f t="shared" si="11"/>
        <v>0</v>
      </c>
    </row>
    <row r="43" spans="1:19" customFormat="1" ht="25.5" hidden="1" customHeight="1" x14ac:dyDescent="0.25">
      <c r="A43" s="56" t="s">
        <v>28</v>
      </c>
      <c r="B43" s="54" t="s">
        <v>5</v>
      </c>
      <c r="C43" s="55">
        <v>728498</v>
      </c>
      <c r="D43" s="55">
        <v>20863</v>
      </c>
      <c r="E43" s="55">
        <v>75057</v>
      </c>
      <c r="F43" s="55">
        <v>4868</v>
      </c>
      <c r="G43" s="55">
        <f t="shared" si="7"/>
        <v>100788</v>
      </c>
      <c r="H43" s="63">
        <v>128671</v>
      </c>
      <c r="I43" s="63">
        <v>462904</v>
      </c>
      <c r="J43" s="63">
        <v>30023</v>
      </c>
      <c r="K43" s="63">
        <f t="shared" si="8"/>
        <v>621598</v>
      </c>
      <c r="L43" s="63">
        <v>1265</v>
      </c>
      <c r="M43" s="63">
        <v>4552</v>
      </c>
      <c r="N43" s="63">
        <v>295</v>
      </c>
      <c r="O43" s="63">
        <f t="shared" si="9"/>
        <v>6112</v>
      </c>
      <c r="R43" s="62">
        <f t="shared" si="10"/>
        <v>728498</v>
      </c>
      <c r="S43" s="62">
        <f t="shared" si="11"/>
        <v>0</v>
      </c>
    </row>
    <row r="44" spans="1:19" customFormat="1" ht="25.5" hidden="1" customHeight="1" x14ac:dyDescent="0.25">
      <c r="A44" s="56" t="s">
        <v>29</v>
      </c>
      <c r="B44" s="54" t="s">
        <v>4</v>
      </c>
      <c r="C44" s="55">
        <v>696437</v>
      </c>
      <c r="D44" s="55">
        <v>13505</v>
      </c>
      <c r="E44" s="55">
        <v>22754</v>
      </c>
      <c r="F44" s="55">
        <v>945</v>
      </c>
      <c r="G44" s="55">
        <f t="shared" si="7"/>
        <v>37204</v>
      </c>
      <c r="H44" s="63">
        <v>231396</v>
      </c>
      <c r="I44" s="63">
        <v>389868</v>
      </c>
      <c r="J44" s="63">
        <v>16191</v>
      </c>
      <c r="K44" s="63">
        <f t="shared" si="8"/>
        <v>637455</v>
      </c>
      <c r="L44" s="63">
        <v>7905</v>
      </c>
      <c r="M44" s="63">
        <v>13320</v>
      </c>
      <c r="N44" s="63">
        <v>553</v>
      </c>
      <c r="O44" s="63">
        <f t="shared" si="9"/>
        <v>21778</v>
      </c>
      <c r="R44" s="62">
        <f t="shared" si="10"/>
        <v>696437</v>
      </c>
      <c r="S44" s="62">
        <f t="shared" si="11"/>
        <v>0</v>
      </c>
    </row>
    <row r="45" spans="1:19" customFormat="1" ht="25.5" hidden="1" customHeight="1" x14ac:dyDescent="0.25">
      <c r="A45" s="56">
        <v>14</v>
      </c>
      <c r="B45" s="54" t="s">
        <v>3</v>
      </c>
      <c r="C45" s="55">
        <v>913731</v>
      </c>
      <c r="D45" s="55">
        <v>43796</v>
      </c>
      <c r="E45" s="55">
        <v>21561</v>
      </c>
      <c r="F45" s="55">
        <v>2022</v>
      </c>
      <c r="G45" s="55">
        <f t="shared" si="7"/>
        <v>67379</v>
      </c>
      <c r="H45" s="63">
        <v>489335</v>
      </c>
      <c r="I45" s="63">
        <v>240903</v>
      </c>
      <c r="J45" s="63">
        <v>22585</v>
      </c>
      <c r="K45" s="63">
        <f t="shared" si="8"/>
        <v>752823</v>
      </c>
      <c r="L45" s="63">
        <v>60794</v>
      </c>
      <c r="M45" s="63">
        <v>29929</v>
      </c>
      <c r="N45" s="63">
        <v>2806</v>
      </c>
      <c r="O45" s="63">
        <f t="shared" si="9"/>
        <v>93529</v>
      </c>
      <c r="R45" s="62">
        <f t="shared" si="10"/>
        <v>913731</v>
      </c>
      <c r="S45" s="62">
        <f t="shared" si="11"/>
        <v>0</v>
      </c>
    </row>
    <row r="46" spans="1:19" customFormat="1" ht="54" hidden="1" customHeight="1" x14ac:dyDescent="0.25">
      <c r="A46" s="56" t="s">
        <v>30</v>
      </c>
      <c r="B46" s="54" t="s">
        <v>2</v>
      </c>
      <c r="C46" s="55">
        <v>122024</v>
      </c>
      <c r="D46" s="55">
        <v>3456</v>
      </c>
      <c r="E46" s="55">
        <v>0</v>
      </c>
      <c r="F46" s="55">
        <v>0</v>
      </c>
      <c r="G46" s="55">
        <f t="shared" si="7"/>
        <v>3456</v>
      </c>
      <c r="H46" s="63">
        <v>102155</v>
      </c>
      <c r="I46" s="63">
        <v>0</v>
      </c>
      <c r="J46" s="63">
        <v>0</v>
      </c>
      <c r="K46" s="63">
        <f t="shared" si="8"/>
        <v>102155</v>
      </c>
      <c r="L46" s="63">
        <v>16413</v>
      </c>
      <c r="M46" s="63">
        <v>0</v>
      </c>
      <c r="N46" s="63">
        <v>0</v>
      </c>
      <c r="O46" s="63">
        <f t="shared" si="9"/>
        <v>16413</v>
      </c>
      <c r="R46" s="62">
        <f t="shared" si="10"/>
        <v>122024</v>
      </c>
      <c r="S46" s="62">
        <f t="shared" si="11"/>
        <v>0</v>
      </c>
    </row>
    <row r="47" spans="1:19" customFormat="1" ht="39.75" hidden="1" customHeight="1" x14ac:dyDescent="0.25">
      <c r="A47" s="56" t="s">
        <v>31</v>
      </c>
      <c r="B47" s="54" t="s">
        <v>1</v>
      </c>
      <c r="C47" s="55">
        <v>87554</v>
      </c>
      <c r="D47" s="55">
        <v>6512</v>
      </c>
      <c r="E47" s="55">
        <v>0</v>
      </c>
      <c r="F47" s="55">
        <v>0</v>
      </c>
      <c r="G47" s="55">
        <f t="shared" si="7"/>
        <v>6512</v>
      </c>
      <c r="H47" s="63">
        <v>77510</v>
      </c>
      <c r="I47" s="63">
        <v>0</v>
      </c>
      <c r="J47" s="63">
        <v>0</v>
      </c>
      <c r="K47" s="63">
        <f t="shared" si="8"/>
        <v>77510</v>
      </c>
      <c r="L47" s="63">
        <v>3532</v>
      </c>
      <c r="M47" s="63">
        <v>0</v>
      </c>
      <c r="N47" s="63">
        <v>0</v>
      </c>
      <c r="O47" s="63">
        <f t="shared" si="9"/>
        <v>3532</v>
      </c>
      <c r="R47" s="62">
        <f t="shared" si="10"/>
        <v>87554</v>
      </c>
      <c r="S47" s="62">
        <f t="shared" si="11"/>
        <v>0</v>
      </c>
    </row>
    <row r="48" spans="1:19" customFormat="1" ht="33" hidden="1" customHeight="1" x14ac:dyDescent="0.25">
      <c r="A48" s="56" t="s">
        <v>32</v>
      </c>
      <c r="B48" s="54" t="s">
        <v>73</v>
      </c>
      <c r="C48" s="55">
        <v>431020</v>
      </c>
      <c r="D48" s="55">
        <v>84777</v>
      </c>
      <c r="E48" s="55">
        <v>0</v>
      </c>
      <c r="F48" s="55">
        <v>0</v>
      </c>
      <c r="G48" s="55">
        <f t="shared" si="7"/>
        <v>84777</v>
      </c>
      <c r="H48" s="63">
        <v>277517</v>
      </c>
      <c r="I48" s="63">
        <v>0</v>
      </c>
      <c r="J48" s="63">
        <v>0</v>
      </c>
      <c r="K48" s="63">
        <f t="shared" si="8"/>
        <v>277517</v>
      </c>
      <c r="L48" s="63">
        <v>68726</v>
      </c>
      <c r="M48" s="63">
        <v>0</v>
      </c>
      <c r="N48" s="63">
        <v>0</v>
      </c>
      <c r="O48" s="63">
        <f t="shared" si="9"/>
        <v>68726</v>
      </c>
      <c r="R48" s="62">
        <f t="shared" si="10"/>
        <v>431020</v>
      </c>
      <c r="S48" s="62">
        <f t="shared" si="11"/>
        <v>0</v>
      </c>
    </row>
    <row r="49" spans="1:34" ht="33" hidden="1" customHeight="1" x14ac:dyDescent="0.25">
      <c r="A49" s="56" t="s">
        <v>90</v>
      </c>
      <c r="B49" s="70" t="s">
        <v>91</v>
      </c>
      <c r="C49" s="55">
        <f>E49+I49+M49</f>
        <v>123323</v>
      </c>
      <c r="D49" s="55">
        <v>0</v>
      </c>
      <c r="E49" s="55">
        <v>20868</v>
      </c>
      <c r="F49" s="55">
        <v>0</v>
      </c>
      <c r="G49" s="55">
        <f t="shared" si="7"/>
        <v>20868</v>
      </c>
      <c r="H49" s="63">
        <v>0</v>
      </c>
      <c r="I49" s="63">
        <v>68615</v>
      </c>
      <c r="J49" s="63">
        <v>0</v>
      </c>
      <c r="K49" s="63">
        <f t="shared" si="8"/>
        <v>68615</v>
      </c>
      <c r="L49" s="63">
        <v>0</v>
      </c>
      <c r="M49" s="63">
        <v>33840</v>
      </c>
      <c r="N49" s="63">
        <v>0</v>
      </c>
      <c r="O49" s="63">
        <f t="shared" si="9"/>
        <v>33840</v>
      </c>
      <c r="R49" s="62">
        <f t="shared" si="10"/>
        <v>123323</v>
      </c>
      <c r="S49" s="62">
        <f>R49-C49</f>
        <v>0</v>
      </c>
    </row>
    <row r="50" spans="1:34" ht="25.5" hidden="1" customHeight="1" x14ac:dyDescent="0.25">
      <c r="A50" s="57"/>
      <c r="B50" s="57" t="s">
        <v>0</v>
      </c>
      <c r="C50" s="58">
        <f>SUM(C32:C49)</f>
        <v>15157527</v>
      </c>
      <c r="D50" s="58">
        <f t="shared" ref="D50:O50" si="12">SUM(D32:D49)</f>
        <v>538800</v>
      </c>
      <c r="E50" s="58">
        <f t="shared" si="12"/>
        <v>1050672</v>
      </c>
      <c r="F50" s="58">
        <f t="shared" si="12"/>
        <v>18266</v>
      </c>
      <c r="G50" s="58">
        <f t="shared" si="12"/>
        <v>1607738</v>
      </c>
      <c r="H50" s="58">
        <f t="shared" si="12"/>
        <v>3555429</v>
      </c>
      <c r="I50" s="58">
        <f t="shared" si="12"/>
        <v>7733308</v>
      </c>
      <c r="J50" s="58">
        <f t="shared" si="12"/>
        <v>138571</v>
      </c>
      <c r="K50" s="58">
        <f t="shared" si="12"/>
        <v>11427308</v>
      </c>
      <c r="L50" s="58">
        <f t="shared" si="12"/>
        <v>602738</v>
      </c>
      <c r="M50" s="58">
        <f t="shared" si="12"/>
        <v>1504479</v>
      </c>
      <c r="N50" s="58">
        <f t="shared" si="12"/>
        <v>15264</v>
      </c>
      <c r="O50" s="58">
        <f t="shared" si="12"/>
        <v>2122481</v>
      </c>
      <c r="R50" s="62">
        <f t="shared" si="10"/>
        <v>15157527</v>
      </c>
      <c r="S50" s="62">
        <f t="shared" si="11"/>
        <v>0</v>
      </c>
    </row>
    <row r="51" spans="1:34" hidden="1" x14ac:dyDescent="0.25">
      <c r="G51" s="2"/>
      <c r="H51" s="67"/>
      <c r="I51" s="67"/>
      <c r="J51" s="67"/>
    </row>
    <row r="52" spans="1:34" s="4" customFormat="1" ht="28.5" hidden="1" customHeight="1" x14ac:dyDescent="0.25">
      <c r="A52" s="152" t="s">
        <v>17</v>
      </c>
      <c r="B52" s="152" t="s">
        <v>33</v>
      </c>
      <c r="C52" s="152" t="s">
        <v>75</v>
      </c>
      <c r="D52" s="152" t="s">
        <v>69</v>
      </c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  <c r="R52" s="61"/>
      <c r="S52" s="61"/>
      <c r="V52" s="61"/>
      <c r="W52" s="61"/>
      <c r="X52" s="61"/>
      <c r="Y52" s="61"/>
      <c r="Z52" s="61"/>
      <c r="AC52" s="95"/>
      <c r="AD52" s="95"/>
      <c r="AE52" s="95"/>
      <c r="AF52" s="95"/>
      <c r="AG52" s="93"/>
      <c r="AH52" s="95"/>
    </row>
    <row r="53" spans="1:34" s="4" customFormat="1" ht="41.25" hidden="1" customHeight="1" x14ac:dyDescent="0.25">
      <c r="A53" s="152"/>
      <c r="B53" s="152"/>
      <c r="C53" s="152"/>
      <c r="D53" s="154" t="s">
        <v>36</v>
      </c>
      <c r="E53" s="154"/>
      <c r="F53" s="154"/>
      <c r="G53" s="154"/>
      <c r="H53" s="155" t="s">
        <v>37</v>
      </c>
      <c r="I53" s="156"/>
      <c r="J53" s="156"/>
      <c r="K53" s="157"/>
      <c r="L53" s="155" t="s">
        <v>38</v>
      </c>
      <c r="M53" s="156"/>
      <c r="N53" s="156"/>
      <c r="O53" s="157"/>
      <c r="R53" s="61"/>
      <c r="S53" s="61"/>
      <c r="V53" s="61"/>
      <c r="W53" s="61"/>
      <c r="X53" s="61"/>
      <c r="Y53" s="61"/>
      <c r="Z53" s="61"/>
      <c r="AC53" s="95"/>
      <c r="AD53" s="95"/>
      <c r="AE53" s="95"/>
      <c r="AF53" s="95"/>
      <c r="AG53" s="93"/>
      <c r="AH53" s="95"/>
    </row>
    <row r="54" spans="1:34" s="4" customFormat="1" ht="59.25" hidden="1" customHeight="1" x14ac:dyDescent="0.25">
      <c r="A54" s="152"/>
      <c r="B54" s="152"/>
      <c r="C54" s="152"/>
      <c r="D54" s="59" t="s">
        <v>66</v>
      </c>
      <c r="E54" s="59" t="s">
        <v>67</v>
      </c>
      <c r="F54" s="59" t="s">
        <v>68</v>
      </c>
      <c r="G54" s="59" t="s">
        <v>70</v>
      </c>
      <c r="H54" s="65" t="s">
        <v>66</v>
      </c>
      <c r="I54" s="65" t="s">
        <v>67</v>
      </c>
      <c r="J54" s="65" t="s">
        <v>68</v>
      </c>
      <c r="K54" s="65" t="s">
        <v>71</v>
      </c>
      <c r="L54" s="65" t="s">
        <v>66</v>
      </c>
      <c r="M54" s="65" t="s">
        <v>67</v>
      </c>
      <c r="N54" s="65" t="s">
        <v>68</v>
      </c>
      <c r="O54" s="65" t="s">
        <v>72</v>
      </c>
      <c r="R54" s="61"/>
      <c r="S54" s="61"/>
      <c r="V54" s="61"/>
      <c r="W54" s="61"/>
      <c r="X54" s="61"/>
      <c r="Y54" s="61"/>
      <c r="Z54" s="61"/>
      <c r="AC54" s="95"/>
      <c r="AD54" s="95"/>
      <c r="AE54" s="95"/>
      <c r="AF54" s="95"/>
      <c r="AG54" s="93"/>
      <c r="AH54" s="95"/>
    </row>
    <row r="55" spans="1:34" s="3" customFormat="1" ht="14.25" hidden="1" customHeight="1" x14ac:dyDescent="0.25">
      <c r="A55" s="53">
        <v>1</v>
      </c>
      <c r="B55" s="53">
        <v>2</v>
      </c>
      <c r="C55" s="53">
        <v>3</v>
      </c>
      <c r="D55" s="53">
        <v>4</v>
      </c>
      <c r="E55" s="53">
        <v>5</v>
      </c>
      <c r="F55" s="53">
        <v>6</v>
      </c>
      <c r="G55" s="53">
        <v>7</v>
      </c>
      <c r="H55" s="66">
        <v>8</v>
      </c>
      <c r="I55" s="66">
        <v>9</v>
      </c>
      <c r="J55" s="66">
        <v>10</v>
      </c>
      <c r="K55" s="66">
        <v>11</v>
      </c>
      <c r="L55" s="66">
        <v>12</v>
      </c>
      <c r="M55" s="66">
        <v>13</v>
      </c>
      <c r="N55" s="66">
        <v>14</v>
      </c>
      <c r="O55" s="66">
        <v>15</v>
      </c>
      <c r="R55" s="61"/>
      <c r="S55" s="61"/>
      <c r="V55" s="61"/>
      <c r="W55" s="61"/>
      <c r="X55" s="61"/>
      <c r="Y55" s="61"/>
      <c r="Z55" s="61"/>
      <c r="AC55" s="95"/>
      <c r="AD55" s="95"/>
      <c r="AE55" s="95"/>
      <c r="AF55" s="95"/>
      <c r="AG55" s="94"/>
      <c r="AH55" s="95"/>
    </row>
    <row r="56" spans="1:34" s="3" customFormat="1" ht="25.5" hidden="1" customHeight="1" x14ac:dyDescent="0.25">
      <c r="A56" s="53" t="s">
        <v>16</v>
      </c>
      <c r="B56" s="54" t="s">
        <v>15</v>
      </c>
      <c r="C56" s="55">
        <v>5778001</v>
      </c>
      <c r="D56" s="55">
        <v>109177</v>
      </c>
      <c r="E56" s="55">
        <v>792365</v>
      </c>
      <c r="F56" s="55">
        <v>0</v>
      </c>
      <c r="G56" s="55">
        <f>D56+E56+F56</f>
        <v>901542</v>
      </c>
      <c r="H56" s="63">
        <v>460357</v>
      </c>
      <c r="I56" s="63">
        <v>3341105</v>
      </c>
      <c r="J56" s="63">
        <v>0</v>
      </c>
      <c r="K56" s="63">
        <f>H56+I56+J56</f>
        <v>3801462</v>
      </c>
      <c r="L56" s="63">
        <v>130182</v>
      </c>
      <c r="M56" s="63">
        <v>944815</v>
      </c>
      <c r="N56" s="63">
        <v>0</v>
      </c>
      <c r="O56" s="63">
        <f>L56+M56+N56</f>
        <v>1074997</v>
      </c>
      <c r="R56" s="62">
        <f>G56+K56+O56</f>
        <v>5778001</v>
      </c>
      <c r="S56" s="62">
        <f>R56-C56</f>
        <v>0</v>
      </c>
      <c r="V56" s="61"/>
      <c r="W56" s="61"/>
      <c r="X56" s="61"/>
      <c r="Y56" s="61"/>
      <c r="Z56" s="61"/>
      <c r="AC56" s="95"/>
      <c r="AD56" s="95"/>
      <c r="AE56" s="95"/>
      <c r="AF56" s="95"/>
      <c r="AG56" s="94"/>
      <c r="AH56" s="95"/>
    </row>
    <row r="57" spans="1:34" ht="40.5" hidden="1" customHeight="1" x14ac:dyDescent="0.25">
      <c r="A57" s="56" t="s">
        <v>24</v>
      </c>
      <c r="B57" s="54" t="s">
        <v>14</v>
      </c>
      <c r="C57" s="55">
        <v>298337</v>
      </c>
      <c r="D57" s="55">
        <v>34119</v>
      </c>
      <c r="E57" s="55">
        <v>26849</v>
      </c>
      <c r="F57" s="55">
        <v>853</v>
      </c>
      <c r="G57" s="55">
        <f t="shared" ref="G57:G73" si="13">D57+E57+F57</f>
        <v>61821</v>
      </c>
      <c r="H57" s="63">
        <v>100270</v>
      </c>
      <c r="I57" s="63">
        <v>78904</v>
      </c>
      <c r="J57" s="63">
        <v>2507</v>
      </c>
      <c r="K57" s="63">
        <f t="shared" ref="K57:K73" si="14">H57+I57+J57</f>
        <v>181681</v>
      </c>
      <c r="L57" s="63">
        <v>30263</v>
      </c>
      <c r="M57" s="63">
        <v>23815</v>
      </c>
      <c r="N57" s="63">
        <v>757</v>
      </c>
      <c r="O57" s="63">
        <f t="shared" ref="O57:O73" si="15">L57+M57+N57</f>
        <v>54835</v>
      </c>
      <c r="R57" s="62">
        <f t="shared" ref="R57:R74" si="16">G57+K57+O57</f>
        <v>298337</v>
      </c>
      <c r="S57" s="62">
        <f t="shared" ref="S57:S74" si="17">R57-C57</f>
        <v>0</v>
      </c>
    </row>
    <row r="58" spans="1:34" ht="34.5" hidden="1" customHeight="1" x14ac:dyDescent="0.25">
      <c r="A58" s="56" t="s">
        <v>23</v>
      </c>
      <c r="B58" s="54" t="s">
        <v>13</v>
      </c>
      <c r="C58" s="55">
        <v>1664316</v>
      </c>
      <c r="D58" s="55">
        <v>0</v>
      </c>
      <c r="E58" s="55">
        <v>94333</v>
      </c>
      <c r="F58" s="55">
        <v>0</v>
      </c>
      <c r="G58" s="55">
        <f t="shared" si="13"/>
        <v>94333</v>
      </c>
      <c r="H58" s="63">
        <v>0</v>
      </c>
      <c r="I58" s="63">
        <v>1398275</v>
      </c>
      <c r="J58" s="63">
        <v>0</v>
      </c>
      <c r="K58" s="63">
        <f t="shared" si="14"/>
        <v>1398275</v>
      </c>
      <c r="L58" s="63">
        <v>0</v>
      </c>
      <c r="M58" s="63">
        <v>171708</v>
      </c>
      <c r="N58" s="63">
        <v>0</v>
      </c>
      <c r="O58" s="63">
        <f t="shared" si="15"/>
        <v>171708</v>
      </c>
      <c r="R58" s="62">
        <f t="shared" si="16"/>
        <v>1664316</v>
      </c>
      <c r="S58" s="62">
        <f t="shared" si="17"/>
        <v>0</v>
      </c>
    </row>
    <row r="59" spans="1:34" ht="40.5" hidden="1" customHeight="1" x14ac:dyDescent="0.25">
      <c r="A59" s="56" t="s">
        <v>22</v>
      </c>
      <c r="B59" s="54" t="s">
        <v>12</v>
      </c>
      <c r="C59" s="55">
        <v>197228</v>
      </c>
      <c r="D59" s="55">
        <v>22687</v>
      </c>
      <c r="E59" s="55">
        <v>0</v>
      </c>
      <c r="F59" s="55">
        <v>0</v>
      </c>
      <c r="G59" s="55">
        <f t="shared" si="13"/>
        <v>22687</v>
      </c>
      <c r="H59" s="63">
        <v>147550</v>
      </c>
      <c r="I59" s="63">
        <v>0</v>
      </c>
      <c r="J59" s="63">
        <v>0</v>
      </c>
      <c r="K59" s="63">
        <f t="shared" si="14"/>
        <v>147550</v>
      </c>
      <c r="L59" s="63">
        <v>26991</v>
      </c>
      <c r="M59" s="63">
        <v>0</v>
      </c>
      <c r="N59" s="63">
        <v>0</v>
      </c>
      <c r="O59" s="63">
        <f t="shared" si="15"/>
        <v>26991</v>
      </c>
      <c r="R59" s="62">
        <f t="shared" si="16"/>
        <v>197228</v>
      </c>
      <c r="S59" s="62">
        <f t="shared" si="17"/>
        <v>0</v>
      </c>
    </row>
    <row r="60" spans="1:34" ht="39.75" hidden="1" customHeight="1" x14ac:dyDescent="0.25">
      <c r="A60" s="56" t="s">
        <v>21</v>
      </c>
      <c r="B60" s="54" t="s">
        <v>11</v>
      </c>
      <c r="C60" s="55">
        <v>148004</v>
      </c>
      <c r="D60" s="55">
        <v>5785</v>
      </c>
      <c r="E60" s="55">
        <v>9172</v>
      </c>
      <c r="F60" s="55">
        <v>3966</v>
      </c>
      <c r="G60" s="55">
        <f t="shared" si="13"/>
        <v>18923</v>
      </c>
      <c r="H60" s="63">
        <v>30685</v>
      </c>
      <c r="I60" s="63">
        <v>48653</v>
      </c>
      <c r="J60" s="63">
        <v>21039</v>
      </c>
      <c r="K60" s="63">
        <f t="shared" si="14"/>
        <v>100377</v>
      </c>
      <c r="L60" s="63">
        <v>8775</v>
      </c>
      <c r="M60" s="63">
        <v>13913</v>
      </c>
      <c r="N60" s="63">
        <v>6016</v>
      </c>
      <c r="O60" s="63">
        <f t="shared" si="15"/>
        <v>28704</v>
      </c>
      <c r="R60" s="62">
        <f t="shared" si="16"/>
        <v>148004</v>
      </c>
      <c r="S60" s="62">
        <f t="shared" si="17"/>
        <v>0</v>
      </c>
    </row>
    <row r="61" spans="1:34" ht="28.5" hidden="1" customHeight="1" x14ac:dyDescent="0.25">
      <c r="A61" s="56" t="s">
        <v>20</v>
      </c>
      <c r="B61" s="54" t="s">
        <v>34</v>
      </c>
      <c r="C61" s="55">
        <v>312044</v>
      </c>
      <c r="D61" s="55">
        <v>58408</v>
      </c>
      <c r="E61" s="55">
        <v>0</v>
      </c>
      <c r="F61" s="55">
        <v>0</v>
      </c>
      <c r="G61" s="55">
        <f t="shared" si="13"/>
        <v>58408</v>
      </c>
      <c r="H61" s="63">
        <v>190650</v>
      </c>
      <c r="I61" s="63">
        <v>0</v>
      </c>
      <c r="J61" s="63">
        <v>0</v>
      </c>
      <c r="K61" s="63">
        <f t="shared" si="14"/>
        <v>190650</v>
      </c>
      <c r="L61" s="63">
        <v>62986</v>
      </c>
      <c r="M61" s="63">
        <v>0</v>
      </c>
      <c r="N61" s="63">
        <v>0</v>
      </c>
      <c r="O61" s="63">
        <f t="shared" si="15"/>
        <v>62986</v>
      </c>
      <c r="R61" s="62">
        <f t="shared" si="16"/>
        <v>312044</v>
      </c>
      <c r="S61" s="62">
        <f t="shared" si="17"/>
        <v>0</v>
      </c>
    </row>
    <row r="62" spans="1:34" ht="34.5" hidden="1" customHeight="1" x14ac:dyDescent="0.25">
      <c r="A62" s="56" t="s">
        <v>19</v>
      </c>
      <c r="B62" s="54" t="s">
        <v>10</v>
      </c>
      <c r="C62" s="55">
        <v>1003584</v>
      </c>
      <c r="D62" s="55">
        <v>21803</v>
      </c>
      <c r="E62" s="55">
        <v>28518</v>
      </c>
      <c r="F62" s="55">
        <v>1333</v>
      </c>
      <c r="G62" s="55">
        <f t="shared" si="13"/>
        <v>51654</v>
      </c>
      <c r="H62" s="63">
        <v>339111</v>
      </c>
      <c r="I62" s="63">
        <v>443551</v>
      </c>
      <c r="J62" s="63">
        <v>20727</v>
      </c>
      <c r="K62" s="63">
        <f t="shared" si="14"/>
        <v>803389</v>
      </c>
      <c r="L62" s="63">
        <v>62700</v>
      </c>
      <c r="M62" s="63">
        <v>82009</v>
      </c>
      <c r="N62" s="63">
        <v>3832</v>
      </c>
      <c r="O62" s="63">
        <f t="shared" si="15"/>
        <v>148541</v>
      </c>
      <c r="R62" s="62">
        <f t="shared" si="16"/>
        <v>1003584</v>
      </c>
      <c r="S62" s="62">
        <f t="shared" si="17"/>
        <v>0</v>
      </c>
    </row>
    <row r="63" spans="1:34" ht="25.5" hidden="1" customHeight="1" x14ac:dyDescent="0.25">
      <c r="A63" s="56" t="s">
        <v>18</v>
      </c>
      <c r="B63" s="54" t="s">
        <v>9</v>
      </c>
      <c r="C63" s="55">
        <v>870861</v>
      </c>
      <c r="D63" s="55">
        <v>82686</v>
      </c>
      <c r="E63" s="55">
        <v>123357</v>
      </c>
      <c r="F63" s="55">
        <v>3713</v>
      </c>
      <c r="G63" s="55">
        <f t="shared" si="13"/>
        <v>209756</v>
      </c>
      <c r="H63" s="63">
        <v>258363</v>
      </c>
      <c r="I63" s="63">
        <v>385446</v>
      </c>
      <c r="J63" s="63">
        <v>11601</v>
      </c>
      <c r="K63" s="63">
        <f t="shared" si="14"/>
        <v>655410</v>
      </c>
      <c r="L63" s="63">
        <v>2245</v>
      </c>
      <c r="M63" s="63">
        <v>3349</v>
      </c>
      <c r="N63" s="63">
        <v>101</v>
      </c>
      <c r="O63" s="63">
        <f t="shared" si="15"/>
        <v>5695</v>
      </c>
      <c r="R63" s="62">
        <f t="shared" si="16"/>
        <v>870861</v>
      </c>
      <c r="S63" s="62">
        <f t="shared" si="17"/>
        <v>0</v>
      </c>
    </row>
    <row r="64" spans="1:34" ht="25.5" hidden="1" customHeight="1" x14ac:dyDescent="0.25">
      <c r="A64" s="56" t="s">
        <v>25</v>
      </c>
      <c r="B64" s="54" t="s">
        <v>8</v>
      </c>
      <c r="C64" s="55">
        <v>1466498</v>
      </c>
      <c r="D64" s="55">
        <v>12101</v>
      </c>
      <c r="E64" s="55">
        <v>45826</v>
      </c>
      <c r="F64" s="55">
        <v>0</v>
      </c>
      <c r="G64" s="55">
        <f t="shared" si="13"/>
        <v>57927</v>
      </c>
      <c r="H64" s="63">
        <v>196396</v>
      </c>
      <c r="I64" s="63">
        <v>743746</v>
      </c>
      <c r="J64" s="63">
        <v>0</v>
      </c>
      <c r="K64" s="63">
        <f t="shared" si="14"/>
        <v>940142</v>
      </c>
      <c r="L64" s="63">
        <v>97855</v>
      </c>
      <c r="M64" s="63">
        <v>370574</v>
      </c>
      <c r="N64" s="63">
        <v>0</v>
      </c>
      <c r="O64" s="63">
        <f t="shared" si="15"/>
        <v>468429</v>
      </c>
      <c r="R64" s="62">
        <f t="shared" si="16"/>
        <v>1466498</v>
      </c>
      <c r="S64" s="62">
        <f t="shared" si="17"/>
        <v>0</v>
      </c>
    </row>
    <row r="65" spans="1:34" ht="25.5" hidden="1" customHeight="1" x14ac:dyDescent="0.25">
      <c r="A65" s="56" t="s">
        <v>26</v>
      </c>
      <c r="B65" s="54" t="s">
        <v>7</v>
      </c>
      <c r="C65" s="55">
        <v>952782</v>
      </c>
      <c r="D65" s="55">
        <v>2024</v>
      </c>
      <c r="E65" s="55">
        <v>15383</v>
      </c>
      <c r="F65" s="55">
        <v>0</v>
      </c>
      <c r="G65" s="55">
        <f t="shared" si="13"/>
        <v>17407</v>
      </c>
      <c r="H65" s="63">
        <v>98906</v>
      </c>
      <c r="I65" s="63">
        <v>751529</v>
      </c>
      <c r="J65" s="63">
        <v>0</v>
      </c>
      <c r="K65" s="63">
        <f t="shared" si="14"/>
        <v>850435</v>
      </c>
      <c r="L65" s="63">
        <v>9878</v>
      </c>
      <c r="M65" s="63">
        <v>75062</v>
      </c>
      <c r="N65" s="63">
        <v>0</v>
      </c>
      <c r="O65" s="63">
        <f t="shared" si="15"/>
        <v>84940</v>
      </c>
      <c r="R65" s="62">
        <f t="shared" si="16"/>
        <v>952782</v>
      </c>
      <c r="S65" s="62">
        <f t="shared" si="17"/>
        <v>0</v>
      </c>
    </row>
    <row r="66" spans="1:34" ht="25.5" hidden="1" customHeight="1" x14ac:dyDescent="0.25">
      <c r="A66" s="56" t="s">
        <v>27</v>
      </c>
      <c r="B66" s="54" t="s">
        <v>6</v>
      </c>
      <c r="C66" s="55">
        <v>535884</v>
      </c>
      <c r="D66" s="55">
        <v>2222</v>
      </c>
      <c r="E66" s="55">
        <v>1454</v>
      </c>
      <c r="F66" s="55">
        <v>59</v>
      </c>
      <c r="G66" s="55">
        <f t="shared" si="13"/>
        <v>3735</v>
      </c>
      <c r="H66" s="63">
        <v>316150</v>
      </c>
      <c r="I66" s="63">
        <v>206853</v>
      </c>
      <c r="J66" s="63">
        <v>8342</v>
      </c>
      <c r="K66" s="63">
        <f t="shared" si="14"/>
        <v>531345</v>
      </c>
      <c r="L66" s="63">
        <v>478</v>
      </c>
      <c r="M66" s="63">
        <v>313</v>
      </c>
      <c r="N66" s="63">
        <v>13</v>
      </c>
      <c r="O66" s="63">
        <f t="shared" si="15"/>
        <v>804</v>
      </c>
      <c r="R66" s="62">
        <f t="shared" si="16"/>
        <v>535884</v>
      </c>
      <c r="S66" s="62">
        <f t="shared" si="17"/>
        <v>0</v>
      </c>
    </row>
    <row r="67" spans="1:34" ht="25.5" hidden="1" customHeight="1" x14ac:dyDescent="0.25">
      <c r="A67" s="56" t="s">
        <v>28</v>
      </c>
      <c r="B67" s="54" t="s">
        <v>5</v>
      </c>
      <c r="C67" s="55">
        <v>1013772</v>
      </c>
      <c r="D67" s="55">
        <v>41880</v>
      </c>
      <c r="E67" s="55">
        <v>92737</v>
      </c>
      <c r="F67" s="55">
        <v>5638</v>
      </c>
      <c r="G67" s="55">
        <f t="shared" si="13"/>
        <v>140255</v>
      </c>
      <c r="H67" s="63">
        <v>258292</v>
      </c>
      <c r="I67" s="63">
        <v>571946</v>
      </c>
      <c r="J67" s="63">
        <v>34773</v>
      </c>
      <c r="K67" s="63">
        <f t="shared" si="14"/>
        <v>865011</v>
      </c>
      <c r="L67" s="63">
        <v>2540</v>
      </c>
      <c r="M67" s="63">
        <v>5624</v>
      </c>
      <c r="N67" s="63">
        <v>342</v>
      </c>
      <c r="O67" s="63">
        <f t="shared" si="15"/>
        <v>8506</v>
      </c>
      <c r="R67" s="62">
        <f t="shared" si="16"/>
        <v>1013772</v>
      </c>
      <c r="S67" s="62">
        <f t="shared" si="17"/>
        <v>0</v>
      </c>
    </row>
    <row r="68" spans="1:34" ht="25.5" hidden="1" customHeight="1" x14ac:dyDescent="0.25">
      <c r="A68" s="56" t="s">
        <v>29</v>
      </c>
      <c r="B68" s="54" t="s">
        <v>4</v>
      </c>
      <c r="C68" s="55">
        <v>587564</v>
      </c>
      <c r="D68" s="55">
        <v>11394</v>
      </c>
      <c r="E68" s="55">
        <v>19197</v>
      </c>
      <c r="F68" s="55">
        <v>797</v>
      </c>
      <c r="G68" s="55">
        <f t="shared" si="13"/>
        <v>31388</v>
      </c>
      <c r="H68" s="63">
        <v>195223</v>
      </c>
      <c r="I68" s="63">
        <v>328920</v>
      </c>
      <c r="J68" s="63">
        <v>13660</v>
      </c>
      <c r="K68" s="63">
        <f t="shared" si="14"/>
        <v>537803</v>
      </c>
      <c r="L68" s="63">
        <v>6670</v>
      </c>
      <c r="M68" s="63">
        <v>11236</v>
      </c>
      <c r="N68" s="63">
        <v>467</v>
      </c>
      <c r="O68" s="63">
        <f t="shared" si="15"/>
        <v>18373</v>
      </c>
      <c r="R68" s="62">
        <f t="shared" si="16"/>
        <v>587564</v>
      </c>
      <c r="S68" s="62">
        <f t="shared" si="17"/>
        <v>0</v>
      </c>
    </row>
    <row r="69" spans="1:34" ht="25.5" hidden="1" customHeight="1" x14ac:dyDescent="0.25">
      <c r="A69" s="56">
        <v>14</v>
      </c>
      <c r="B69" s="54" t="s">
        <v>3</v>
      </c>
      <c r="C69" s="55">
        <v>913731</v>
      </c>
      <c r="D69" s="55">
        <v>43796</v>
      </c>
      <c r="E69" s="55">
        <v>21561</v>
      </c>
      <c r="F69" s="55">
        <v>2021</v>
      </c>
      <c r="G69" s="55">
        <f t="shared" si="13"/>
        <v>67378</v>
      </c>
      <c r="H69" s="63">
        <v>489335</v>
      </c>
      <c r="I69" s="63">
        <v>240903</v>
      </c>
      <c r="J69" s="63">
        <v>22585</v>
      </c>
      <c r="K69" s="63">
        <f t="shared" si="14"/>
        <v>752823</v>
      </c>
      <c r="L69" s="63">
        <v>60794</v>
      </c>
      <c r="M69" s="63">
        <v>29930</v>
      </c>
      <c r="N69" s="63">
        <v>2806</v>
      </c>
      <c r="O69" s="63">
        <f t="shared" si="15"/>
        <v>93530</v>
      </c>
      <c r="R69" s="62">
        <f t="shared" si="16"/>
        <v>913731</v>
      </c>
      <c r="S69" s="62">
        <f t="shared" si="17"/>
        <v>0</v>
      </c>
    </row>
    <row r="70" spans="1:34" ht="54" hidden="1" customHeight="1" x14ac:dyDescent="0.25">
      <c r="A70" s="56" t="s">
        <v>30</v>
      </c>
      <c r="B70" s="54" t="s">
        <v>2</v>
      </c>
      <c r="C70" s="55">
        <v>95156</v>
      </c>
      <c r="D70" s="55">
        <v>2695</v>
      </c>
      <c r="E70" s="55">
        <v>0</v>
      </c>
      <c r="F70" s="55">
        <v>0</v>
      </c>
      <c r="G70" s="55">
        <f t="shared" si="13"/>
        <v>2695</v>
      </c>
      <c r="H70" s="63">
        <v>79662</v>
      </c>
      <c r="I70" s="63">
        <v>0</v>
      </c>
      <c r="J70" s="63">
        <v>0</v>
      </c>
      <c r="K70" s="63">
        <f t="shared" si="14"/>
        <v>79662</v>
      </c>
      <c r="L70" s="63">
        <v>12799</v>
      </c>
      <c r="M70" s="63">
        <v>0</v>
      </c>
      <c r="N70" s="63">
        <v>0</v>
      </c>
      <c r="O70" s="63">
        <f t="shared" si="15"/>
        <v>12799</v>
      </c>
      <c r="R70" s="62">
        <f t="shared" si="16"/>
        <v>95156</v>
      </c>
      <c r="S70" s="62">
        <f t="shared" si="17"/>
        <v>0</v>
      </c>
    </row>
    <row r="71" spans="1:34" ht="39.75" hidden="1" customHeight="1" x14ac:dyDescent="0.25">
      <c r="A71" s="56" t="s">
        <v>31</v>
      </c>
      <c r="B71" s="54" t="s">
        <v>1</v>
      </c>
      <c r="C71" s="55">
        <v>70451</v>
      </c>
      <c r="D71" s="55">
        <v>5240</v>
      </c>
      <c r="E71" s="55">
        <v>0</v>
      </c>
      <c r="F71" s="55">
        <v>0</v>
      </c>
      <c r="G71" s="55">
        <f t="shared" si="13"/>
        <v>5240</v>
      </c>
      <c r="H71" s="63">
        <v>62369</v>
      </c>
      <c r="I71" s="63">
        <v>0</v>
      </c>
      <c r="J71" s="63">
        <v>0</v>
      </c>
      <c r="K71" s="63">
        <f t="shared" si="14"/>
        <v>62369</v>
      </c>
      <c r="L71" s="63">
        <v>2842</v>
      </c>
      <c r="M71" s="63">
        <v>0</v>
      </c>
      <c r="N71" s="63">
        <v>0</v>
      </c>
      <c r="O71" s="63">
        <f t="shared" si="15"/>
        <v>2842</v>
      </c>
      <c r="R71" s="62">
        <f t="shared" si="16"/>
        <v>70451</v>
      </c>
      <c r="S71" s="62">
        <f t="shared" si="17"/>
        <v>0</v>
      </c>
    </row>
    <row r="72" spans="1:34" ht="33" hidden="1" customHeight="1" x14ac:dyDescent="0.25">
      <c r="A72" s="56" t="s">
        <v>32</v>
      </c>
      <c r="B72" s="54" t="s">
        <v>73</v>
      </c>
      <c r="C72" s="55">
        <v>46244</v>
      </c>
      <c r="D72" s="55">
        <v>9095</v>
      </c>
      <c r="E72" s="55">
        <v>0</v>
      </c>
      <c r="F72" s="55">
        <v>0</v>
      </c>
      <c r="G72" s="55">
        <f t="shared" si="13"/>
        <v>9095</v>
      </c>
      <c r="H72" s="63">
        <v>29775</v>
      </c>
      <c r="I72" s="63">
        <v>0</v>
      </c>
      <c r="J72" s="63">
        <v>0</v>
      </c>
      <c r="K72" s="63">
        <f t="shared" si="14"/>
        <v>29775</v>
      </c>
      <c r="L72" s="63">
        <v>7374</v>
      </c>
      <c r="M72" s="63">
        <v>0</v>
      </c>
      <c r="N72" s="63">
        <v>0</v>
      </c>
      <c r="O72" s="63">
        <f t="shared" si="15"/>
        <v>7374</v>
      </c>
      <c r="R72" s="62">
        <f t="shared" si="16"/>
        <v>46244</v>
      </c>
      <c r="S72" s="62">
        <f t="shared" si="17"/>
        <v>0</v>
      </c>
    </row>
    <row r="73" spans="1:34" ht="33" hidden="1" customHeight="1" x14ac:dyDescent="0.25">
      <c r="A73" s="56" t="s">
        <v>90</v>
      </c>
      <c r="B73" s="70" t="s">
        <v>91</v>
      </c>
      <c r="C73" s="55">
        <f>E73+I73+M73</f>
        <v>61662</v>
      </c>
      <c r="D73" s="55">
        <v>0</v>
      </c>
      <c r="E73" s="55">
        <v>10436</v>
      </c>
      <c r="F73" s="55">
        <v>0</v>
      </c>
      <c r="G73" s="55">
        <f t="shared" si="13"/>
        <v>10436</v>
      </c>
      <c r="H73" s="63">
        <v>0</v>
      </c>
      <c r="I73" s="63">
        <v>34306</v>
      </c>
      <c r="J73" s="63">
        <v>0</v>
      </c>
      <c r="K73" s="63">
        <f t="shared" si="14"/>
        <v>34306</v>
      </c>
      <c r="L73" s="63">
        <v>0</v>
      </c>
      <c r="M73" s="63">
        <v>16920</v>
      </c>
      <c r="N73" s="63">
        <v>0</v>
      </c>
      <c r="O73" s="63">
        <f t="shared" si="15"/>
        <v>16920</v>
      </c>
      <c r="R73" s="62">
        <f t="shared" si="16"/>
        <v>61662</v>
      </c>
      <c r="S73" s="62">
        <f>R73-C73</f>
        <v>0</v>
      </c>
    </row>
    <row r="74" spans="1:34" ht="25.5" hidden="1" customHeight="1" x14ac:dyDescent="0.25">
      <c r="A74" s="57"/>
      <c r="B74" s="57" t="s">
        <v>0</v>
      </c>
      <c r="C74" s="58">
        <f>SUM(C56:C73)</f>
        <v>16016119</v>
      </c>
      <c r="D74" s="58">
        <f>SUM(D56:D73)</f>
        <v>465112</v>
      </c>
      <c r="E74" s="58">
        <f t="shared" ref="E74:O74" si="18">SUM(E56:E73)</f>
        <v>1281188</v>
      </c>
      <c r="F74" s="58">
        <f t="shared" si="18"/>
        <v>18380</v>
      </c>
      <c r="G74" s="58">
        <f t="shared" si="18"/>
        <v>1764680</v>
      </c>
      <c r="H74" s="58">
        <f t="shared" si="18"/>
        <v>3253094</v>
      </c>
      <c r="I74" s="58">
        <f t="shared" si="18"/>
        <v>8574137</v>
      </c>
      <c r="J74" s="58">
        <f t="shared" si="18"/>
        <v>135234</v>
      </c>
      <c r="K74" s="58">
        <f t="shared" si="18"/>
        <v>11962465</v>
      </c>
      <c r="L74" s="58">
        <f t="shared" si="18"/>
        <v>525372</v>
      </c>
      <c r="M74" s="58">
        <f t="shared" si="18"/>
        <v>1749268</v>
      </c>
      <c r="N74" s="58">
        <f t="shared" si="18"/>
        <v>14334</v>
      </c>
      <c r="O74" s="58">
        <f t="shared" si="18"/>
        <v>2288974</v>
      </c>
      <c r="R74" s="62">
        <f t="shared" si="16"/>
        <v>16016119</v>
      </c>
      <c r="S74" s="62">
        <f t="shared" si="17"/>
        <v>0</v>
      </c>
    </row>
    <row r="75" spans="1:34" hidden="1" x14ac:dyDescent="0.25"/>
    <row r="76" spans="1:34" s="4" customFormat="1" ht="28.5" hidden="1" customHeight="1" x14ac:dyDescent="0.25">
      <c r="A76" s="152" t="s">
        <v>17</v>
      </c>
      <c r="B76" s="152" t="s">
        <v>33</v>
      </c>
      <c r="C76" s="159" t="s">
        <v>76</v>
      </c>
      <c r="D76" s="152" t="s">
        <v>69</v>
      </c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R76" s="61"/>
      <c r="S76" s="61"/>
      <c r="V76" s="61"/>
      <c r="W76" s="61"/>
      <c r="X76" s="61"/>
      <c r="Y76" s="61"/>
      <c r="Z76" s="61"/>
      <c r="AC76" s="95"/>
      <c r="AD76" s="95"/>
      <c r="AE76" s="95"/>
      <c r="AF76" s="95"/>
      <c r="AG76" s="93"/>
      <c r="AH76" s="95"/>
    </row>
    <row r="77" spans="1:34" s="4" customFormat="1" ht="41.25" hidden="1" customHeight="1" x14ac:dyDescent="0.25">
      <c r="A77" s="152"/>
      <c r="B77" s="152"/>
      <c r="C77" s="159"/>
      <c r="D77" s="154" t="s">
        <v>36</v>
      </c>
      <c r="E77" s="154"/>
      <c r="F77" s="154"/>
      <c r="G77" s="154"/>
      <c r="H77" s="155" t="s">
        <v>37</v>
      </c>
      <c r="I77" s="156"/>
      <c r="J77" s="156"/>
      <c r="K77" s="157"/>
      <c r="L77" s="155" t="s">
        <v>38</v>
      </c>
      <c r="M77" s="156"/>
      <c r="N77" s="156"/>
      <c r="O77" s="157"/>
      <c r="R77" s="61"/>
      <c r="S77" s="61"/>
      <c r="V77" s="61"/>
      <c r="W77" s="61"/>
      <c r="X77" s="61"/>
      <c r="Y77" s="61"/>
      <c r="Z77" s="61"/>
      <c r="AC77" s="95"/>
      <c r="AD77" s="95"/>
      <c r="AE77" s="95"/>
      <c r="AF77" s="95"/>
      <c r="AG77" s="93"/>
      <c r="AH77" s="95"/>
    </row>
    <row r="78" spans="1:34" s="4" customFormat="1" ht="59.25" hidden="1" customHeight="1" x14ac:dyDescent="0.25">
      <c r="A78" s="152"/>
      <c r="B78" s="152"/>
      <c r="C78" s="159"/>
      <c r="D78" s="59" t="s">
        <v>66</v>
      </c>
      <c r="E78" s="59" t="s">
        <v>67</v>
      </c>
      <c r="F78" s="59" t="s">
        <v>68</v>
      </c>
      <c r="G78" s="59" t="s">
        <v>70</v>
      </c>
      <c r="H78" s="65" t="s">
        <v>66</v>
      </c>
      <c r="I78" s="65" t="s">
        <v>67</v>
      </c>
      <c r="J78" s="65" t="s">
        <v>68</v>
      </c>
      <c r="K78" s="65" t="s">
        <v>71</v>
      </c>
      <c r="L78" s="65" t="s">
        <v>66</v>
      </c>
      <c r="M78" s="65" t="s">
        <v>67</v>
      </c>
      <c r="N78" s="65" t="s">
        <v>68</v>
      </c>
      <c r="O78" s="65" t="s">
        <v>72</v>
      </c>
      <c r="R78" s="61"/>
      <c r="S78" s="61"/>
      <c r="V78" s="61"/>
      <c r="W78" s="61"/>
      <c r="X78" s="61"/>
      <c r="Y78" s="61"/>
      <c r="Z78" s="61"/>
      <c r="AC78" s="95"/>
      <c r="AD78" s="95"/>
      <c r="AE78" s="95"/>
      <c r="AF78" s="95"/>
      <c r="AG78" s="93"/>
      <c r="AH78" s="95"/>
    </row>
    <row r="79" spans="1:34" s="3" customFormat="1" ht="14.25" hidden="1" customHeight="1" x14ac:dyDescent="0.25">
      <c r="A79" s="53">
        <v>1</v>
      </c>
      <c r="B79" s="53">
        <v>2</v>
      </c>
      <c r="C79" s="53">
        <v>3</v>
      </c>
      <c r="D79" s="53">
        <v>4</v>
      </c>
      <c r="E79" s="53">
        <v>5</v>
      </c>
      <c r="F79" s="53">
        <v>6</v>
      </c>
      <c r="G79" s="53">
        <v>7</v>
      </c>
      <c r="H79" s="66">
        <v>8</v>
      </c>
      <c r="I79" s="66">
        <v>9</v>
      </c>
      <c r="J79" s="66">
        <v>10</v>
      </c>
      <c r="K79" s="66">
        <v>11</v>
      </c>
      <c r="L79" s="66">
        <v>12</v>
      </c>
      <c r="M79" s="66">
        <v>13</v>
      </c>
      <c r="N79" s="66">
        <v>14</v>
      </c>
      <c r="O79" s="66">
        <v>15</v>
      </c>
      <c r="R79" s="61"/>
      <c r="S79" s="61"/>
      <c r="V79" s="61"/>
      <c r="W79" s="61"/>
      <c r="X79" s="61"/>
      <c r="Y79" s="61"/>
      <c r="Z79" s="61"/>
      <c r="AC79" s="95"/>
      <c r="AD79" s="95"/>
      <c r="AE79" s="95"/>
      <c r="AF79" s="95"/>
      <c r="AG79" s="94"/>
      <c r="AH79" s="95"/>
    </row>
    <row r="80" spans="1:34" s="3" customFormat="1" ht="25.5" hidden="1" customHeight="1" x14ac:dyDescent="0.25">
      <c r="A80" s="53" t="s">
        <v>16</v>
      </c>
      <c r="B80" s="54" t="s">
        <v>15</v>
      </c>
      <c r="C80" s="55">
        <f t="shared" ref="C80:C96" si="19">C7+C32+C56</f>
        <v>14463762</v>
      </c>
      <c r="D80" s="55">
        <f t="shared" ref="D80:N80" si="20">D7+D32+D56</f>
        <v>361977</v>
      </c>
      <c r="E80" s="55">
        <f t="shared" si="20"/>
        <v>1894804</v>
      </c>
      <c r="F80" s="55">
        <f t="shared" si="20"/>
        <v>0</v>
      </c>
      <c r="G80" s="55">
        <f>D80+E80+F80</f>
        <v>2256781</v>
      </c>
      <c r="H80" s="63">
        <f t="shared" si="20"/>
        <v>1526321</v>
      </c>
      <c r="I80" s="63">
        <f t="shared" si="20"/>
        <v>7989677</v>
      </c>
      <c r="J80" s="63">
        <f t="shared" si="20"/>
        <v>0</v>
      </c>
      <c r="K80" s="63">
        <f>H80+I80+J80</f>
        <v>9515998</v>
      </c>
      <c r="L80" s="63">
        <f t="shared" si="20"/>
        <v>431621</v>
      </c>
      <c r="M80" s="63">
        <f t="shared" si="20"/>
        <v>2259362</v>
      </c>
      <c r="N80" s="63">
        <f t="shared" si="20"/>
        <v>0</v>
      </c>
      <c r="O80" s="63">
        <f>L80+M80+N80</f>
        <v>2690983</v>
      </c>
      <c r="R80" s="62">
        <f>G80+K80+O80</f>
        <v>14463762</v>
      </c>
      <c r="S80" s="62">
        <f>R80-C80</f>
        <v>0</v>
      </c>
      <c r="V80" s="61"/>
      <c r="W80" s="61"/>
      <c r="X80" s="61"/>
      <c r="Y80" s="61"/>
      <c r="Z80" s="61"/>
      <c r="AC80" s="95"/>
      <c r="AD80" s="95"/>
      <c r="AE80" s="95"/>
      <c r="AF80" s="95"/>
      <c r="AG80" s="94"/>
      <c r="AH80" s="95"/>
    </row>
    <row r="81" spans="1:19" customFormat="1" ht="40.5" hidden="1" customHeight="1" x14ac:dyDescent="0.25">
      <c r="A81" s="56" t="s">
        <v>24</v>
      </c>
      <c r="B81" s="54" t="s">
        <v>14</v>
      </c>
      <c r="C81" s="55">
        <f t="shared" si="19"/>
        <v>911606</v>
      </c>
      <c r="D81" s="55">
        <f t="shared" ref="D81:F97" si="21">D8+D33+D57</f>
        <v>105759</v>
      </c>
      <c r="E81" s="55">
        <f t="shared" si="21"/>
        <v>80576</v>
      </c>
      <c r="F81" s="55">
        <f t="shared" si="21"/>
        <v>2568</v>
      </c>
      <c r="G81" s="55">
        <f t="shared" ref="G81:G96" si="22">D81+E81+F81</f>
        <v>188903</v>
      </c>
      <c r="H81" s="63">
        <f t="shared" ref="H81:J97" si="23">H8+H33+H57</f>
        <v>310805</v>
      </c>
      <c r="I81" s="63">
        <f t="shared" si="23"/>
        <v>236796</v>
      </c>
      <c r="J81" s="63">
        <f t="shared" si="23"/>
        <v>7548</v>
      </c>
      <c r="K81" s="63">
        <f t="shared" ref="K81:K96" si="24">H81+I81+J81</f>
        <v>555149</v>
      </c>
      <c r="L81" s="63">
        <f t="shared" ref="L81:N97" si="25">L8+L33+L57</f>
        <v>93806</v>
      </c>
      <c r="M81" s="63">
        <f t="shared" si="25"/>
        <v>71470</v>
      </c>
      <c r="N81" s="63">
        <f t="shared" si="25"/>
        <v>2278</v>
      </c>
      <c r="O81" s="63">
        <f t="shared" ref="O81:O96" si="26">L81+M81+N81</f>
        <v>167554</v>
      </c>
      <c r="R81" s="62">
        <f t="shared" ref="R81:R98" si="27">G81+K81+O81</f>
        <v>911606</v>
      </c>
      <c r="S81" s="62">
        <f t="shared" ref="S81:S98" si="28">R81-C81</f>
        <v>0</v>
      </c>
    </row>
    <row r="82" spans="1:19" customFormat="1" ht="34.5" hidden="1" customHeight="1" x14ac:dyDescent="0.25">
      <c r="A82" s="56" t="s">
        <v>23</v>
      </c>
      <c r="B82" s="54" t="s">
        <v>13</v>
      </c>
      <c r="C82" s="55">
        <f t="shared" si="19"/>
        <v>5741475</v>
      </c>
      <c r="D82" s="55">
        <f t="shared" si="21"/>
        <v>0</v>
      </c>
      <c r="E82" s="55">
        <f t="shared" si="21"/>
        <v>325427</v>
      </c>
      <c r="F82" s="55">
        <f t="shared" si="21"/>
        <v>0</v>
      </c>
      <c r="G82" s="55">
        <f t="shared" si="22"/>
        <v>325427</v>
      </c>
      <c r="H82" s="63">
        <f t="shared" si="23"/>
        <v>0</v>
      </c>
      <c r="I82" s="63">
        <f t="shared" si="23"/>
        <v>4823700</v>
      </c>
      <c r="J82" s="63">
        <f t="shared" si="23"/>
        <v>0</v>
      </c>
      <c r="K82" s="63">
        <f t="shared" si="24"/>
        <v>4823700</v>
      </c>
      <c r="L82" s="63">
        <f t="shared" si="25"/>
        <v>0</v>
      </c>
      <c r="M82" s="63">
        <f t="shared" si="25"/>
        <v>592348</v>
      </c>
      <c r="N82" s="63">
        <f t="shared" si="25"/>
        <v>0</v>
      </c>
      <c r="O82" s="63">
        <f t="shared" si="26"/>
        <v>592348</v>
      </c>
      <c r="R82" s="62">
        <f t="shared" si="27"/>
        <v>5741475</v>
      </c>
      <c r="S82" s="62">
        <f t="shared" si="28"/>
        <v>0</v>
      </c>
    </row>
    <row r="83" spans="1:19" customFormat="1" ht="40.5" hidden="1" customHeight="1" x14ac:dyDescent="0.25">
      <c r="A83" s="56" t="s">
        <v>22</v>
      </c>
      <c r="B83" s="54" t="s">
        <v>12</v>
      </c>
      <c r="C83" s="55">
        <f t="shared" si="19"/>
        <v>541588</v>
      </c>
      <c r="D83" s="55">
        <f t="shared" si="21"/>
        <v>62299</v>
      </c>
      <c r="E83" s="55">
        <f t="shared" si="21"/>
        <v>0</v>
      </c>
      <c r="F83" s="55">
        <f t="shared" si="21"/>
        <v>0</v>
      </c>
      <c r="G83" s="55">
        <f t="shared" si="22"/>
        <v>62299</v>
      </c>
      <c r="H83" s="63">
        <f t="shared" si="23"/>
        <v>405172</v>
      </c>
      <c r="I83" s="63">
        <f t="shared" si="23"/>
        <v>0</v>
      </c>
      <c r="J83" s="63">
        <f t="shared" si="23"/>
        <v>0</v>
      </c>
      <c r="K83" s="63">
        <f t="shared" si="24"/>
        <v>405172</v>
      </c>
      <c r="L83" s="63">
        <f t="shared" si="25"/>
        <v>74117</v>
      </c>
      <c r="M83" s="63">
        <f t="shared" si="25"/>
        <v>0</v>
      </c>
      <c r="N83" s="63">
        <f t="shared" si="25"/>
        <v>0</v>
      </c>
      <c r="O83" s="63">
        <f t="shared" si="26"/>
        <v>74117</v>
      </c>
      <c r="R83" s="62">
        <f t="shared" si="27"/>
        <v>541588</v>
      </c>
      <c r="S83" s="62">
        <f t="shared" si="28"/>
        <v>0</v>
      </c>
    </row>
    <row r="84" spans="1:19" customFormat="1" ht="39.75" hidden="1" customHeight="1" x14ac:dyDescent="0.25">
      <c r="A84" s="56" t="s">
        <v>21</v>
      </c>
      <c r="B84" s="54" t="s">
        <v>11</v>
      </c>
      <c r="C84" s="55">
        <f t="shared" si="19"/>
        <v>491901</v>
      </c>
      <c r="D84" s="55">
        <f t="shared" si="21"/>
        <v>19190</v>
      </c>
      <c r="E84" s="55">
        <f t="shared" si="21"/>
        <v>30492</v>
      </c>
      <c r="F84" s="55">
        <f t="shared" si="21"/>
        <v>13208</v>
      </c>
      <c r="G84" s="55">
        <f t="shared" si="22"/>
        <v>62890</v>
      </c>
      <c r="H84" s="63">
        <f t="shared" si="23"/>
        <v>101797</v>
      </c>
      <c r="I84" s="63">
        <f t="shared" si="23"/>
        <v>161749</v>
      </c>
      <c r="J84" s="63">
        <f t="shared" si="23"/>
        <v>70066</v>
      </c>
      <c r="K84" s="63">
        <f t="shared" si="24"/>
        <v>333612</v>
      </c>
      <c r="L84" s="63">
        <f t="shared" si="25"/>
        <v>29110</v>
      </c>
      <c r="M84" s="63">
        <f t="shared" si="25"/>
        <v>46253</v>
      </c>
      <c r="N84" s="63">
        <f t="shared" si="25"/>
        <v>20036</v>
      </c>
      <c r="O84" s="63">
        <f t="shared" si="26"/>
        <v>95399</v>
      </c>
      <c r="R84" s="62">
        <f t="shared" si="27"/>
        <v>491901</v>
      </c>
      <c r="S84" s="62">
        <f t="shared" si="28"/>
        <v>0</v>
      </c>
    </row>
    <row r="85" spans="1:19" customFormat="1" ht="28.5" hidden="1" customHeight="1" x14ac:dyDescent="0.25">
      <c r="A85" s="56" t="s">
        <v>20</v>
      </c>
      <c r="B85" s="54" t="s">
        <v>34</v>
      </c>
      <c r="C85" s="55">
        <f t="shared" si="19"/>
        <v>960135</v>
      </c>
      <c r="D85" s="55">
        <f t="shared" si="21"/>
        <v>179717</v>
      </c>
      <c r="E85" s="55">
        <f t="shared" si="21"/>
        <v>0</v>
      </c>
      <c r="F85" s="55">
        <f t="shared" si="21"/>
        <v>0</v>
      </c>
      <c r="G85" s="55">
        <f t="shared" si="22"/>
        <v>179717</v>
      </c>
      <c r="H85" s="63">
        <f t="shared" si="23"/>
        <v>586615</v>
      </c>
      <c r="I85" s="63">
        <f t="shared" si="23"/>
        <v>0</v>
      </c>
      <c r="J85" s="63">
        <f t="shared" si="23"/>
        <v>0</v>
      </c>
      <c r="K85" s="63">
        <f t="shared" si="24"/>
        <v>586615</v>
      </c>
      <c r="L85" s="63">
        <f t="shared" si="25"/>
        <v>193803</v>
      </c>
      <c r="M85" s="63">
        <f t="shared" si="25"/>
        <v>0</v>
      </c>
      <c r="N85" s="63">
        <f t="shared" si="25"/>
        <v>0</v>
      </c>
      <c r="O85" s="63">
        <f t="shared" si="26"/>
        <v>193803</v>
      </c>
      <c r="R85" s="62">
        <f t="shared" si="27"/>
        <v>960135</v>
      </c>
      <c r="S85" s="62">
        <f t="shared" si="28"/>
        <v>0</v>
      </c>
    </row>
    <row r="86" spans="1:19" customFormat="1" ht="34.5" hidden="1" customHeight="1" x14ac:dyDescent="0.25">
      <c r="A86" s="56" t="s">
        <v>19</v>
      </c>
      <c r="B86" s="54" t="s">
        <v>10</v>
      </c>
      <c r="C86" s="55">
        <f t="shared" si="19"/>
        <v>3404848</v>
      </c>
      <c r="D86" s="55">
        <f t="shared" si="21"/>
        <v>73961</v>
      </c>
      <c r="E86" s="55">
        <f t="shared" si="21"/>
        <v>96737</v>
      </c>
      <c r="F86" s="55">
        <f t="shared" si="21"/>
        <v>4549</v>
      </c>
      <c r="G86" s="55">
        <f t="shared" si="22"/>
        <v>175247</v>
      </c>
      <c r="H86" s="63">
        <f t="shared" si="23"/>
        <v>1150329</v>
      </c>
      <c r="I86" s="63">
        <f t="shared" si="23"/>
        <v>1504580</v>
      </c>
      <c r="J86" s="63">
        <f t="shared" si="23"/>
        <v>70739</v>
      </c>
      <c r="K86" s="63">
        <f t="shared" si="24"/>
        <v>2725648</v>
      </c>
      <c r="L86" s="63">
        <f t="shared" si="25"/>
        <v>212688</v>
      </c>
      <c r="M86" s="63">
        <f t="shared" si="25"/>
        <v>278186</v>
      </c>
      <c r="N86" s="63">
        <f t="shared" si="25"/>
        <v>13079</v>
      </c>
      <c r="O86" s="63">
        <f t="shared" si="26"/>
        <v>503953</v>
      </c>
      <c r="R86" s="62">
        <f t="shared" si="27"/>
        <v>3404848</v>
      </c>
      <c r="S86" s="62">
        <f t="shared" si="28"/>
        <v>0</v>
      </c>
    </row>
    <row r="87" spans="1:19" customFormat="1" ht="25.5" hidden="1" customHeight="1" x14ac:dyDescent="0.25">
      <c r="A87" s="56" t="s">
        <v>18</v>
      </c>
      <c r="B87" s="54" t="s">
        <v>9</v>
      </c>
      <c r="C87" s="55">
        <f t="shared" si="19"/>
        <v>2774662</v>
      </c>
      <c r="D87" s="55">
        <f t="shared" si="21"/>
        <v>257350</v>
      </c>
      <c r="E87" s="55">
        <f t="shared" si="21"/>
        <v>399877</v>
      </c>
      <c r="F87" s="55">
        <f t="shared" si="21"/>
        <v>11079</v>
      </c>
      <c r="G87" s="55">
        <f t="shared" si="22"/>
        <v>668306</v>
      </c>
      <c r="H87" s="63">
        <f t="shared" si="23"/>
        <v>804123</v>
      </c>
      <c r="I87" s="63">
        <f t="shared" si="23"/>
        <v>1249469</v>
      </c>
      <c r="J87" s="63">
        <f t="shared" si="23"/>
        <v>34618</v>
      </c>
      <c r="K87" s="63">
        <f t="shared" si="24"/>
        <v>2088210</v>
      </c>
      <c r="L87" s="63">
        <f t="shared" si="25"/>
        <v>6987</v>
      </c>
      <c r="M87" s="63">
        <f t="shared" si="25"/>
        <v>10858</v>
      </c>
      <c r="N87" s="63">
        <f t="shared" si="25"/>
        <v>301</v>
      </c>
      <c r="O87" s="63">
        <f t="shared" si="26"/>
        <v>18146</v>
      </c>
      <c r="R87" s="62">
        <f t="shared" si="27"/>
        <v>2774662</v>
      </c>
      <c r="S87" s="62">
        <f t="shared" si="28"/>
        <v>0</v>
      </c>
    </row>
    <row r="88" spans="1:19" customFormat="1" ht="25.5" hidden="1" customHeight="1" x14ac:dyDescent="0.25">
      <c r="A88" s="56" t="s">
        <v>25</v>
      </c>
      <c r="B88" s="54" t="s">
        <v>8</v>
      </c>
      <c r="C88" s="55">
        <f t="shared" si="19"/>
        <v>4632132</v>
      </c>
      <c r="D88" s="55">
        <f t="shared" si="21"/>
        <v>35873</v>
      </c>
      <c r="E88" s="55">
        <f t="shared" si="21"/>
        <v>147097</v>
      </c>
      <c r="F88" s="55">
        <f t="shared" si="21"/>
        <v>0</v>
      </c>
      <c r="G88" s="55">
        <f t="shared" si="22"/>
        <v>182970</v>
      </c>
      <c r="H88" s="63">
        <f t="shared" si="23"/>
        <v>582212</v>
      </c>
      <c r="I88" s="63">
        <f t="shared" si="23"/>
        <v>2387354</v>
      </c>
      <c r="J88" s="63">
        <f t="shared" si="23"/>
        <v>0</v>
      </c>
      <c r="K88" s="63">
        <f t="shared" si="24"/>
        <v>2969566</v>
      </c>
      <c r="L88" s="63">
        <f t="shared" si="25"/>
        <v>290089</v>
      </c>
      <c r="M88" s="63">
        <f t="shared" si="25"/>
        <v>1189507</v>
      </c>
      <c r="N88" s="63">
        <f t="shared" si="25"/>
        <v>0</v>
      </c>
      <c r="O88" s="63">
        <f t="shared" si="26"/>
        <v>1479596</v>
      </c>
      <c r="R88" s="62">
        <f t="shared" si="27"/>
        <v>4632132</v>
      </c>
      <c r="S88" s="62">
        <f t="shared" si="28"/>
        <v>0</v>
      </c>
    </row>
    <row r="89" spans="1:19" customFormat="1" ht="25.5" hidden="1" customHeight="1" x14ac:dyDescent="0.25">
      <c r="A89" s="56" t="s">
        <v>26</v>
      </c>
      <c r="B89" s="54" t="s">
        <v>7</v>
      </c>
      <c r="C89" s="55">
        <f t="shared" si="19"/>
        <v>2932532</v>
      </c>
      <c r="D89" s="55">
        <f t="shared" si="21"/>
        <v>6362</v>
      </c>
      <c r="E89" s="55">
        <f t="shared" si="21"/>
        <v>47215</v>
      </c>
      <c r="F89" s="55">
        <f t="shared" si="21"/>
        <v>0</v>
      </c>
      <c r="G89" s="55">
        <f t="shared" si="22"/>
        <v>53577</v>
      </c>
      <c r="H89" s="63">
        <f t="shared" si="23"/>
        <v>310826</v>
      </c>
      <c r="I89" s="63">
        <f t="shared" si="23"/>
        <v>2306694</v>
      </c>
      <c r="J89" s="63">
        <f t="shared" si="23"/>
        <v>0</v>
      </c>
      <c r="K89" s="63">
        <f t="shared" si="24"/>
        <v>2617520</v>
      </c>
      <c r="L89" s="63">
        <f t="shared" si="25"/>
        <v>31045</v>
      </c>
      <c r="M89" s="63">
        <f t="shared" si="25"/>
        <v>230390</v>
      </c>
      <c r="N89" s="63">
        <f t="shared" si="25"/>
        <v>0</v>
      </c>
      <c r="O89" s="63">
        <f t="shared" si="26"/>
        <v>261435</v>
      </c>
      <c r="R89" s="62">
        <f t="shared" si="27"/>
        <v>2932532</v>
      </c>
      <c r="S89" s="62">
        <f t="shared" si="28"/>
        <v>0</v>
      </c>
    </row>
    <row r="90" spans="1:19" customFormat="1" ht="25.5" hidden="1" customHeight="1" x14ac:dyDescent="0.25">
      <c r="A90" s="56" t="s">
        <v>27</v>
      </c>
      <c r="B90" s="54" t="s">
        <v>6</v>
      </c>
      <c r="C90" s="55">
        <f t="shared" si="19"/>
        <v>2027143</v>
      </c>
      <c r="D90" s="55">
        <f t="shared" si="21"/>
        <v>8365</v>
      </c>
      <c r="E90" s="55">
        <f t="shared" si="21"/>
        <v>5537</v>
      </c>
      <c r="F90" s="55">
        <f t="shared" si="21"/>
        <v>226</v>
      </c>
      <c r="G90" s="55">
        <f t="shared" si="22"/>
        <v>14128</v>
      </c>
      <c r="H90" s="63">
        <f t="shared" si="23"/>
        <v>1190010</v>
      </c>
      <c r="I90" s="63">
        <f t="shared" si="23"/>
        <v>787817</v>
      </c>
      <c r="J90" s="63">
        <f t="shared" si="23"/>
        <v>32148</v>
      </c>
      <c r="K90" s="63">
        <f t="shared" si="24"/>
        <v>2009975</v>
      </c>
      <c r="L90" s="63">
        <f t="shared" si="25"/>
        <v>1800</v>
      </c>
      <c r="M90" s="63">
        <f t="shared" si="25"/>
        <v>1192</v>
      </c>
      <c r="N90" s="63">
        <f t="shared" si="25"/>
        <v>48</v>
      </c>
      <c r="O90" s="63">
        <f t="shared" si="26"/>
        <v>3040</v>
      </c>
      <c r="R90" s="62">
        <f t="shared" si="27"/>
        <v>2027143</v>
      </c>
      <c r="S90" s="62">
        <f t="shared" si="28"/>
        <v>0</v>
      </c>
    </row>
    <row r="91" spans="1:19" customFormat="1" ht="25.5" hidden="1" customHeight="1" x14ac:dyDescent="0.25">
      <c r="A91" s="56" t="s">
        <v>28</v>
      </c>
      <c r="B91" s="54" t="s">
        <v>5</v>
      </c>
      <c r="C91" s="55">
        <f t="shared" si="19"/>
        <v>2470768</v>
      </c>
      <c r="D91" s="55">
        <f t="shared" si="21"/>
        <v>83667</v>
      </c>
      <c r="E91" s="55">
        <f t="shared" si="21"/>
        <v>242780</v>
      </c>
      <c r="F91" s="55">
        <f t="shared" si="21"/>
        <v>15384</v>
      </c>
      <c r="G91" s="55">
        <f t="shared" si="22"/>
        <v>341831</v>
      </c>
      <c r="H91" s="63">
        <f t="shared" si="23"/>
        <v>516007</v>
      </c>
      <c r="I91" s="63">
        <f t="shared" si="23"/>
        <v>1497319</v>
      </c>
      <c r="J91" s="63">
        <f t="shared" si="23"/>
        <v>94881</v>
      </c>
      <c r="K91" s="63">
        <f t="shared" si="24"/>
        <v>2108207</v>
      </c>
      <c r="L91" s="63">
        <f t="shared" si="25"/>
        <v>5074</v>
      </c>
      <c r="M91" s="63">
        <f t="shared" si="25"/>
        <v>14723</v>
      </c>
      <c r="N91" s="63">
        <f t="shared" si="25"/>
        <v>933</v>
      </c>
      <c r="O91" s="63">
        <f t="shared" si="26"/>
        <v>20730</v>
      </c>
      <c r="R91" s="62">
        <f t="shared" si="27"/>
        <v>2470768</v>
      </c>
      <c r="S91" s="62">
        <f t="shared" si="28"/>
        <v>0</v>
      </c>
    </row>
    <row r="92" spans="1:19" customFormat="1" ht="25.5" hidden="1" customHeight="1" x14ac:dyDescent="0.25">
      <c r="A92" s="56" t="s">
        <v>29</v>
      </c>
      <c r="B92" s="54" t="s">
        <v>4</v>
      </c>
      <c r="C92" s="55">
        <f t="shared" si="19"/>
        <v>1995823</v>
      </c>
      <c r="D92" s="55">
        <f t="shared" si="21"/>
        <v>38702</v>
      </c>
      <c r="E92" s="55">
        <f t="shared" si="21"/>
        <v>65208</v>
      </c>
      <c r="F92" s="55">
        <f t="shared" si="21"/>
        <v>2708</v>
      </c>
      <c r="G92" s="55">
        <f t="shared" si="22"/>
        <v>106618</v>
      </c>
      <c r="H92" s="63">
        <f t="shared" si="23"/>
        <v>663127</v>
      </c>
      <c r="I92" s="63">
        <f t="shared" si="23"/>
        <v>1117268</v>
      </c>
      <c r="J92" s="63">
        <f t="shared" si="23"/>
        <v>46400</v>
      </c>
      <c r="K92" s="63">
        <f t="shared" si="24"/>
        <v>1826795</v>
      </c>
      <c r="L92" s="63">
        <f t="shared" si="25"/>
        <v>22655</v>
      </c>
      <c r="M92" s="63">
        <f t="shared" si="25"/>
        <v>38169</v>
      </c>
      <c r="N92" s="63">
        <f t="shared" si="25"/>
        <v>1586</v>
      </c>
      <c r="O92" s="63">
        <f t="shared" si="26"/>
        <v>62410</v>
      </c>
      <c r="R92" s="62">
        <f t="shared" si="27"/>
        <v>1995823</v>
      </c>
      <c r="S92" s="62">
        <f t="shared" si="28"/>
        <v>0</v>
      </c>
    </row>
    <row r="93" spans="1:19" customFormat="1" ht="25.5" hidden="1" customHeight="1" x14ac:dyDescent="0.25">
      <c r="A93" s="56">
        <v>14</v>
      </c>
      <c r="B93" s="54" t="s">
        <v>3</v>
      </c>
      <c r="C93" s="55">
        <f t="shared" si="19"/>
        <v>2741193</v>
      </c>
      <c r="D93" s="55">
        <f t="shared" si="21"/>
        <v>131388</v>
      </c>
      <c r="E93" s="55">
        <f t="shared" si="21"/>
        <v>64683</v>
      </c>
      <c r="F93" s="55">
        <f t="shared" si="21"/>
        <v>6065</v>
      </c>
      <c r="G93" s="55">
        <f t="shared" si="22"/>
        <v>202136</v>
      </c>
      <c r="H93" s="63">
        <f t="shared" si="23"/>
        <v>1468005</v>
      </c>
      <c r="I93" s="63">
        <f t="shared" si="23"/>
        <v>722709</v>
      </c>
      <c r="J93" s="63">
        <f t="shared" si="23"/>
        <v>67755</v>
      </c>
      <c r="K93" s="63">
        <f t="shared" si="24"/>
        <v>2258469</v>
      </c>
      <c r="L93" s="63">
        <f t="shared" si="25"/>
        <v>182382</v>
      </c>
      <c r="M93" s="63">
        <f t="shared" si="25"/>
        <v>89788</v>
      </c>
      <c r="N93" s="63">
        <f t="shared" si="25"/>
        <v>8418</v>
      </c>
      <c r="O93" s="63">
        <f t="shared" si="26"/>
        <v>280588</v>
      </c>
      <c r="R93" s="62">
        <f t="shared" si="27"/>
        <v>2741193</v>
      </c>
      <c r="S93" s="62">
        <f t="shared" si="28"/>
        <v>0</v>
      </c>
    </row>
    <row r="94" spans="1:19" customFormat="1" ht="54" hidden="1" customHeight="1" x14ac:dyDescent="0.25">
      <c r="A94" s="56" t="s">
        <v>30</v>
      </c>
      <c r="B94" s="54" t="s">
        <v>2</v>
      </c>
      <c r="C94" s="55">
        <f t="shared" si="19"/>
        <v>340043</v>
      </c>
      <c r="D94" s="55">
        <f t="shared" si="21"/>
        <v>9630</v>
      </c>
      <c r="E94" s="55">
        <f t="shared" si="21"/>
        <v>0</v>
      </c>
      <c r="F94" s="55">
        <f t="shared" si="21"/>
        <v>0</v>
      </c>
      <c r="G94" s="55">
        <f t="shared" si="22"/>
        <v>9630</v>
      </c>
      <c r="H94" s="63">
        <f t="shared" si="23"/>
        <v>284675</v>
      </c>
      <c r="I94" s="63">
        <f t="shared" si="23"/>
        <v>0</v>
      </c>
      <c r="J94" s="63">
        <f t="shared" si="23"/>
        <v>0</v>
      </c>
      <c r="K94" s="63">
        <f t="shared" si="24"/>
        <v>284675</v>
      </c>
      <c r="L94" s="63">
        <f t="shared" si="25"/>
        <v>45738</v>
      </c>
      <c r="M94" s="63">
        <f t="shared" si="25"/>
        <v>0</v>
      </c>
      <c r="N94" s="63">
        <f t="shared" si="25"/>
        <v>0</v>
      </c>
      <c r="O94" s="63">
        <f t="shared" si="26"/>
        <v>45738</v>
      </c>
      <c r="R94" s="62">
        <f t="shared" si="27"/>
        <v>340043</v>
      </c>
      <c r="S94" s="62">
        <f t="shared" si="28"/>
        <v>0</v>
      </c>
    </row>
    <row r="95" spans="1:19" customFormat="1" ht="39.75" hidden="1" customHeight="1" x14ac:dyDescent="0.25">
      <c r="A95" s="56" t="s">
        <v>31</v>
      </c>
      <c r="B95" s="54" t="s">
        <v>1</v>
      </c>
      <c r="C95" s="55">
        <f t="shared" si="19"/>
        <v>256758</v>
      </c>
      <c r="D95" s="55">
        <f t="shared" si="21"/>
        <v>19097</v>
      </c>
      <c r="E95" s="55">
        <f t="shared" si="21"/>
        <v>0</v>
      </c>
      <c r="F95" s="55">
        <f t="shared" si="21"/>
        <v>0</v>
      </c>
      <c r="G95" s="55">
        <f t="shared" si="22"/>
        <v>19097</v>
      </c>
      <c r="H95" s="63">
        <f t="shared" si="23"/>
        <v>227303</v>
      </c>
      <c r="I95" s="63">
        <f t="shared" si="23"/>
        <v>0</v>
      </c>
      <c r="J95" s="63">
        <f t="shared" si="23"/>
        <v>0</v>
      </c>
      <c r="K95" s="63">
        <f t="shared" si="24"/>
        <v>227303</v>
      </c>
      <c r="L95" s="63">
        <f t="shared" si="25"/>
        <v>10358</v>
      </c>
      <c r="M95" s="63">
        <f t="shared" si="25"/>
        <v>0</v>
      </c>
      <c r="N95" s="63">
        <f t="shared" si="25"/>
        <v>0</v>
      </c>
      <c r="O95" s="63">
        <f t="shared" si="26"/>
        <v>10358</v>
      </c>
      <c r="R95" s="62">
        <f t="shared" si="27"/>
        <v>256758</v>
      </c>
      <c r="S95" s="62">
        <f t="shared" si="28"/>
        <v>0</v>
      </c>
    </row>
    <row r="96" spans="1:19" customFormat="1" ht="33" hidden="1" customHeight="1" x14ac:dyDescent="0.25">
      <c r="A96" s="56" t="s">
        <v>32</v>
      </c>
      <c r="B96" s="54" t="s">
        <v>73</v>
      </c>
      <c r="C96" s="55">
        <f t="shared" si="19"/>
        <v>518509</v>
      </c>
      <c r="D96" s="55">
        <f t="shared" si="21"/>
        <v>101984</v>
      </c>
      <c r="E96" s="55">
        <f t="shared" si="21"/>
        <v>0</v>
      </c>
      <c r="F96" s="55">
        <f t="shared" si="21"/>
        <v>0</v>
      </c>
      <c r="G96" s="55">
        <f t="shared" si="22"/>
        <v>101984</v>
      </c>
      <c r="H96" s="63">
        <f t="shared" si="23"/>
        <v>333848</v>
      </c>
      <c r="I96" s="63">
        <f t="shared" si="23"/>
        <v>0</v>
      </c>
      <c r="J96" s="63">
        <f t="shared" si="23"/>
        <v>0</v>
      </c>
      <c r="K96" s="63">
        <f t="shared" si="24"/>
        <v>333848</v>
      </c>
      <c r="L96" s="63">
        <f t="shared" si="25"/>
        <v>82677</v>
      </c>
      <c r="M96" s="63">
        <f t="shared" si="25"/>
        <v>0</v>
      </c>
      <c r="N96" s="63">
        <f t="shared" si="25"/>
        <v>0</v>
      </c>
      <c r="O96" s="63">
        <f t="shared" si="26"/>
        <v>82677</v>
      </c>
      <c r="R96" s="62">
        <f t="shared" si="27"/>
        <v>518509</v>
      </c>
      <c r="S96" s="62">
        <f t="shared" si="28"/>
        <v>0</v>
      </c>
    </row>
    <row r="97" spans="1:34" ht="33" hidden="1" customHeight="1" x14ac:dyDescent="0.25">
      <c r="A97" s="56" t="s">
        <v>90</v>
      </c>
      <c r="B97" s="70" t="s">
        <v>91</v>
      </c>
      <c r="C97" s="55">
        <f>E97+I97+M97</f>
        <v>184985</v>
      </c>
      <c r="D97" s="55">
        <f t="shared" si="21"/>
        <v>0</v>
      </c>
      <c r="E97" s="55">
        <f>E24+E49+E73</f>
        <v>31304</v>
      </c>
      <c r="F97" s="55">
        <f t="shared" si="21"/>
        <v>0</v>
      </c>
      <c r="G97" s="55">
        <f t="shared" ref="G97" si="29">D97+E97+F97</f>
        <v>31304</v>
      </c>
      <c r="H97" s="63">
        <f t="shared" si="23"/>
        <v>0</v>
      </c>
      <c r="I97" s="63">
        <f t="shared" si="23"/>
        <v>102921</v>
      </c>
      <c r="J97" s="63">
        <f t="shared" si="23"/>
        <v>0</v>
      </c>
      <c r="K97" s="63">
        <f t="shared" ref="K97" si="30">H97+I97+J97</f>
        <v>102921</v>
      </c>
      <c r="L97" s="63">
        <f t="shared" si="25"/>
        <v>0</v>
      </c>
      <c r="M97" s="63">
        <f t="shared" si="25"/>
        <v>50760</v>
      </c>
      <c r="N97" s="63">
        <f t="shared" si="25"/>
        <v>0</v>
      </c>
      <c r="O97" s="63">
        <f t="shared" ref="O97" si="31">L97+M97+N97</f>
        <v>50760</v>
      </c>
      <c r="R97" s="62">
        <f t="shared" si="27"/>
        <v>184985</v>
      </c>
      <c r="S97" s="62">
        <f>R97-C97</f>
        <v>0</v>
      </c>
    </row>
    <row r="98" spans="1:34" ht="25.5" hidden="1" customHeight="1" x14ac:dyDescent="0.25">
      <c r="A98" s="57"/>
      <c r="B98" s="57" t="s">
        <v>0</v>
      </c>
      <c r="C98" s="58">
        <f>SUM(C80:C97)</f>
        <v>47389863</v>
      </c>
      <c r="D98" s="58">
        <f t="shared" ref="D98:O98" si="32">SUM(D80:D97)</f>
        <v>1495321</v>
      </c>
      <c r="E98" s="58">
        <f t="shared" si="32"/>
        <v>3431737</v>
      </c>
      <c r="F98" s="58">
        <f t="shared" si="32"/>
        <v>55787</v>
      </c>
      <c r="G98" s="58">
        <f t="shared" si="32"/>
        <v>4982845</v>
      </c>
      <c r="H98" s="58">
        <f t="shared" si="32"/>
        <v>10461175</v>
      </c>
      <c r="I98" s="58">
        <f t="shared" si="32"/>
        <v>24888053</v>
      </c>
      <c r="J98" s="58">
        <f t="shared" si="32"/>
        <v>424155</v>
      </c>
      <c r="K98" s="58">
        <f t="shared" si="32"/>
        <v>35773383</v>
      </c>
      <c r="L98" s="58">
        <f t="shared" si="32"/>
        <v>1713950</v>
      </c>
      <c r="M98" s="58">
        <f t="shared" si="32"/>
        <v>4873006</v>
      </c>
      <c r="N98" s="58">
        <f t="shared" si="32"/>
        <v>46679</v>
      </c>
      <c r="O98" s="58">
        <f t="shared" si="32"/>
        <v>6633635</v>
      </c>
      <c r="R98" s="62">
        <f t="shared" si="27"/>
        <v>47389863</v>
      </c>
      <c r="S98" s="62">
        <f t="shared" si="28"/>
        <v>0</v>
      </c>
    </row>
    <row r="99" spans="1:34" hidden="1" x14ac:dyDescent="0.25"/>
    <row r="100" spans="1:34" s="4" customFormat="1" ht="28.5" hidden="1" customHeight="1" x14ac:dyDescent="0.25">
      <c r="A100" s="152" t="s">
        <v>17</v>
      </c>
      <c r="B100" s="152" t="s">
        <v>33</v>
      </c>
      <c r="C100" s="152" t="s">
        <v>77</v>
      </c>
      <c r="D100" s="152" t="s">
        <v>69</v>
      </c>
      <c r="E100" s="152"/>
      <c r="F100" s="152"/>
      <c r="G100" s="152"/>
      <c r="H100" s="152"/>
      <c r="I100" s="152"/>
      <c r="J100" s="152"/>
      <c r="K100" s="152"/>
      <c r="L100" s="152"/>
      <c r="M100" s="152"/>
      <c r="N100" s="152"/>
      <c r="O100" s="152"/>
      <c r="R100" s="61"/>
      <c r="S100" s="61"/>
      <c r="V100" s="61"/>
      <c r="W100" s="61"/>
      <c r="X100" s="61"/>
      <c r="Y100" s="61"/>
      <c r="Z100" s="61"/>
      <c r="AC100" s="95"/>
      <c r="AD100" s="95"/>
      <c r="AE100" s="95"/>
      <c r="AF100" s="95"/>
      <c r="AG100" s="93"/>
      <c r="AH100" s="95"/>
    </row>
    <row r="101" spans="1:34" s="4" customFormat="1" ht="41.25" hidden="1" customHeight="1" x14ac:dyDescent="0.25">
      <c r="A101" s="152"/>
      <c r="B101" s="152"/>
      <c r="C101" s="152"/>
      <c r="D101" s="154" t="s">
        <v>36</v>
      </c>
      <c r="E101" s="154"/>
      <c r="F101" s="154"/>
      <c r="G101" s="154"/>
      <c r="H101" s="155" t="s">
        <v>37</v>
      </c>
      <c r="I101" s="156"/>
      <c r="J101" s="156"/>
      <c r="K101" s="157"/>
      <c r="L101" s="155" t="s">
        <v>38</v>
      </c>
      <c r="M101" s="156"/>
      <c r="N101" s="156"/>
      <c r="O101" s="157"/>
      <c r="R101" s="61"/>
      <c r="S101" s="61"/>
      <c r="V101" s="61"/>
      <c r="W101" s="61"/>
      <c r="X101" s="61"/>
      <c r="Y101" s="61"/>
      <c r="Z101" s="61"/>
      <c r="AC101" s="95"/>
      <c r="AD101" s="95"/>
      <c r="AE101" s="95"/>
      <c r="AF101" s="95"/>
      <c r="AG101" s="93"/>
      <c r="AH101" s="95"/>
    </row>
    <row r="102" spans="1:34" s="4" customFormat="1" ht="59.25" hidden="1" customHeight="1" x14ac:dyDescent="0.25">
      <c r="A102" s="152"/>
      <c r="B102" s="152"/>
      <c r="C102" s="152"/>
      <c r="D102" s="59" t="s">
        <v>66</v>
      </c>
      <c r="E102" s="59" t="s">
        <v>67</v>
      </c>
      <c r="F102" s="59" t="s">
        <v>68</v>
      </c>
      <c r="G102" s="59" t="s">
        <v>70</v>
      </c>
      <c r="H102" s="65" t="s">
        <v>66</v>
      </c>
      <c r="I102" s="65" t="s">
        <v>67</v>
      </c>
      <c r="J102" s="65" t="s">
        <v>68</v>
      </c>
      <c r="K102" s="65" t="s">
        <v>71</v>
      </c>
      <c r="L102" s="65" t="s">
        <v>66</v>
      </c>
      <c r="M102" s="65" t="s">
        <v>67</v>
      </c>
      <c r="N102" s="65" t="s">
        <v>68</v>
      </c>
      <c r="O102" s="65" t="s">
        <v>72</v>
      </c>
      <c r="R102" s="61"/>
      <c r="S102" s="61"/>
      <c r="V102" s="61"/>
      <c r="W102" s="61"/>
      <c r="X102" s="61"/>
      <c r="Y102" s="61"/>
      <c r="Z102" s="61"/>
      <c r="AC102" s="95"/>
      <c r="AD102" s="95"/>
      <c r="AE102" s="95"/>
      <c r="AF102" s="95"/>
      <c r="AG102" s="93"/>
      <c r="AH102" s="95"/>
    </row>
    <row r="103" spans="1:34" s="3" customFormat="1" ht="14.25" hidden="1" customHeight="1" x14ac:dyDescent="0.25">
      <c r="A103" s="53">
        <v>1</v>
      </c>
      <c r="B103" s="53">
        <v>2</v>
      </c>
      <c r="C103" s="53">
        <v>3</v>
      </c>
      <c r="D103" s="53">
        <v>4</v>
      </c>
      <c r="E103" s="53">
        <v>5</v>
      </c>
      <c r="F103" s="53">
        <v>6</v>
      </c>
      <c r="G103" s="53">
        <v>7</v>
      </c>
      <c r="H103" s="66">
        <v>8</v>
      </c>
      <c r="I103" s="66">
        <v>9</v>
      </c>
      <c r="J103" s="66">
        <v>10</v>
      </c>
      <c r="K103" s="66">
        <v>11</v>
      </c>
      <c r="L103" s="66">
        <v>12</v>
      </c>
      <c r="M103" s="66">
        <v>13</v>
      </c>
      <c r="N103" s="66">
        <v>14</v>
      </c>
      <c r="O103" s="66">
        <v>15</v>
      </c>
      <c r="R103" s="61"/>
      <c r="S103" s="61"/>
      <c r="V103" s="61"/>
      <c r="W103" s="61"/>
      <c r="X103" s="61"/>
      <c r="Y103" s="61"/>
      <c r="Z103" s="61"/>
      <c r="AC103" s="95"/>
      <c r="AD103" s="95"/>
      <c r="AE103" s="95"/>
      <c r="AF103" s="95"/>
      <c r="AG103" s="94"/>
      <c r="AH103" s="95"/>
    </row>
    <row r="104" spans="1:34" s="3" customFormat="1" ht="25.5" hidden="1" customHeight="1" x14ac:dyDescent="0.25">
      <c r="A104" s="53" t="s">
        <v>16</v>
      </c>
      <c r="B104" s="54" t="s">
        <v>15</v>
      </c>
      <c r="C104" s="55">
        <v>5384047</v>
      </c>
      <c r="D104" s="55">
        <v>93752</v>
      </c>
      <c r="E104" s="55">
        <v>746321</v>
      </c>
      <c r="F104" s="55">
        <v>0</v>
      </c>
      <c r="G104" s="55">
        <f>D104+E104+F104</f>
        <v>840073</v>
      </c>
      <c r="H104" s="63">
        <v>395318</v>
      </c>
      <c r="I104" s="63">
        <v>3146954</v>
      </c>
      <c r="J104" s="63">
        <v>0</v>
      </c>
      <c r="K104" s="63">
        <f>H104+I104+J104</f>
        <v>3542272</v>
      </c>
      <c r="L104" s="63">
        <v>111790</v>
      </c>
      <c r="M104" s="63">
        <v>889912</v>
      </c>
      <c r="N104" s="63">
        <v>0</v>
      </c>
      <c r="O104" s="63">
        <f>L104+M104+N104</f>
        <v>1001702</v>
      </c>
      <c r="R104" s="62">
        <f>G104+K104+O104</f>
        <v>5384047</v>
      </c>
      <c r="S104" s="62">
        <f>R104-C104</f>
        <v>0</v>
      </c>
      <c r="V104" s="61"/>
      <c r="W104" s="61"/>
      <c r="X104" s="61"/>
      <c r="Y104" s="61"/>
      <c r="Z104" s="61"/>
      <c r="AC104" s="95"/>
      <c r="AD104" s="95"/>
      <c r="AE104" s="95"/>
      <c r="AF104" s="95"/>
      <c r="AG104" s="94"/>
      <c r="AH104" s="95"/>
    </row>
    <row r="105" spans="1:34" ht="40.5" hidden="1" customHeight="1" x14ac:dyDescent="0.25">
      <c r="A105" s="56" t="s">
        <v>24</v>
      </c>
      <c r="B105" s="54" t="s">
        <v>14</v>
      </c>
      <c r="C105" s="55">
        <v>288658</v>
      </c>
      <c r="D105" s="55">
        <v>32103</v>
      </c>
      <c r="E105" s="55">
        <v>26857</v>
      </c>
      <c r="F105" s="55">
        <v>855</v>
      </c>
      <c r="G105" s="55">
        <f t="shared" ref="G105:G121" si="33">D105+E105+F105</f>
        <v>59815</v>
      </c>
      <c r="H105" s="63">
        <v>94345</v>
      </c>
      <c r="I105" s="63">
        <v>78928</v>
      </c>
      <c r="J105" s="63">
        <v>2514</v>
      </c>
      <c r="K105" s="63">
        <f t="shared" ref="K105:K121" si="34">H105+I105+J105</f>
        <v>175787</v>
      </c>
      <c r="L105" s="63">
        <v>28475</v>
      </c>
      <c r="M105" s="63">
        <v>23822</v>
      </c>
      <c r="N105" s="63">
        <v>759</v>
      </c>
      <c r="O105" s="63">
        <f t="shared" ref="O105:O121" si="35">L105+M105+N105</f>
        <v>53056</v>
      </c>
      <c r="R105" s="62">
        <f t="shared" ref="R105:R122" si="36">G105+K105+O105</f>
        <v>288658</v>
      </c>
      <c r="S105" s="62">
        <f t="shared" ref="S105:S122" si="37">R105-C105</f>
        <v>0</v>
      </c>
    </row>
    <row r="106" spans="1:34" ht="34.5" hidden="1" customHeight="1" x14ac:dyDescent="0.25">
      <c r="A106" s="56" t="s">
        <v>23</v>
      </c>
      <c r="B106" s="54" t="s">
        <v>13</v>
      </c>
      <c r="C106" s="55">
        <v>1351325</v>
      </c>
      <c r="D106" s="55">
        <v>0</v>
      </c>
      <c r="E106" s="55">
        <v>76593</v>
      </c>
      <c r="F106" s="55">
        <v>0</v>
      </c>
      <c r="G106" s="55">
        <f t="shared" si="33"/>
        <v>76593</v>
      </c>
      <c r="H106" s="63">
        <v>0</v>
      </c>
      <c r="I106" s="63">
        <v>1135316</v>
      </c>
      <c r="J106" s="63">
        <v>0</v>
      </c>
      <c r="K106" s="63">
        <f t="shared" si="34"/>
        <v>1135316</v>
      </c>
      <c r="L106" s="63">
        <v>0</v>
      </c>
      <c r="M106" s="63">
        <v>139416</v>
      </c>
      <c r="N106" s="63">
        <v>0</v>
      </c>
      <c r="O106" s="63">
        <f t="shared" si="35"/>
        <v>139416</v>
      </c>
      <c r="R106" s="62">
        <f t="shared" si="36"/>
        <v>1351325</v>
      </c>
      <c r="S106" s="62">
        <f t="shared" si="37"/>
        <v>0</v>
      </c>
    </row>
    <row r="107" spans="1:34" ht="40.5" hidden="1" customHeight="1" x14ac:dyDescent="0.25">
      <c r="A107" s="56" t="s">
        <v>22</v>
      </c>
      <c r="B107" s="54" t="s">
        <v>12</v>
      </c>
      <c r="C107" s="55">
        <v>133660</v>
      </c>
      <c r="D107" s="55">
        <v>15375</v>
      </c>
      <c r="E107" s="55">
        <v>0</v>
      </c>
      <c r="F107" s="55">
        <v>0</v>
      </c>
      <c r="G107" s="55">
        <f t="shared" si="33"/>
        <v>15375</v>
      </c>
      <c r="H107" s="63">
        <v>99994</v>
      </c>
      <c r="I107" s="63">
        <v>0</v>
      </c>
      <c r="J107" s="63">
        <v>0</v>
      </c>
      <c r="K107" s="63">
        <f t="shared" si="34"/>
        <v>99994</v>
      </c>
      <c r="L107" s="63">
        <v>18291</v>
      </c>
      <c r="M107" s="63">
        <v>0</v>
      </c>
      <c r="N107" s="63">
        <v>0</v>
      </c>
      <c r="O107" s="63">
        <f t="shared" si="35"/>
        <v>18291</v>
      </c>
      <c r="R107" s="62">
        <f t="shared" si="36"/>
        <v>133660</v>
      </c>
      <c r="S107" s="62">
        <f t="shared" si="37"/>
        <v>0</v>
      </c>
    </row>
    <row r="108" spans="1:34" ht="39.75" hidden="1" customHeight="1" x14ac:dyDescent="0.25">
      <c r="A108" s="56" t="s">
        <v>21</v>
      </c>
      <c r="B108" s="54" t="s">
        <v>11</v>
      </c>
      <c r="C108" s="55">
        <v>154250</v>
      </c>
      <c r="D108" s="55">
        <v>6046</v>
      </c>
      <c r="E108" s="55">
        <v>9571</v>
      </c>
      <c r="F108" s="55">
        <v>4104</v>
      </c>
      <c r="G108" s="55">
        <f t="shared" si="33"/>
        <v>19721</v>
      </c>
      <c r="H108" s="63">
        <v>32075</v>
      </c>
      <c r="I108" s="63">
        <v>50769</v>
      </c>
      <c r="J108" s="63">
        <v>21770</v>
      </c>
      <c r="K108" s="63">
        <f t="shared" si="34"/>
        <v>104614</v>
      </c>
      <c r="L108" s="63">
        <v>9172</v>
      </c>
      <c r="M108" s="63">
        <v>14518</v>
      </c>
      <c r="N108" s="63">
        <v>6225</v>
      </c>
      <c r="O108" s="63">
        <f t="shared" si="35"/>
        <v>29915</v>
      </c>
      <c r="R108" s="62">
        <f t="shared" si="36"/>
        <v>154250</v>
      </c>
      <c r="S108" s="62">
        <f t="shared" si="37"/>
        <v>0</v>
      </c>
    </row>
    <row r="109" spans="1:34" ht="28.5" hidden="1" customHeight="1" x14ac:dyDescent="0.25">
      <c r="A109" s="56" t="s">
        <v>20</v>
      </c>
      <c r="B109" s="54" t="s">
        <v>34</v>
      </c>
      <c r="C109" s="55">
        <v>256867</v>
      </c>
      <c r="D109" s="55">
        <v>48080</v>
      </c>
      <c r="E109" s="55">
        <v>0</v>
      </c>
      <c r="F109" s="55">
        <v>0</v>
      </c>
      <c r="G109" s="55">
        <f t="shared" si="33"/>
        <v>48080</v>
      </c>
      <c r="H109" s="63">
        <v>156938</v>
      </c>
      <c r="I109" s="63">
        <v>0</v>
      </c>
      <c r="J109" s="63">
        <v>0</v>
      </c>
      <c r="K109" s="63">
        <f t="shared" si="34"/>
        <v>156938</v>
      </c>
      <c r="L109" s="63">
        <v>51849</v>
      </c>
      <c r="M109" s="63">
        <v>0</v>
      </c>
      <c r="N109" s="63">
        <v>0</v>
      </c>
      <c r="O109" s="63">
        <f t="shared" si="35"/>
        <v>51849</v>
      </c>
      <c r="R109" s="62">
        <f t="shared" si="36"/>
        <v>256867</v>
      </c>
      <c r="S109" s="62">
        <f t="shared" si="37"/>
        <v>0</v>
      </c>
    </row>
    <row r="110" spans="1:34" ht="34.5" hidden="1" customHeight="1" x14ac:dyDescent="0.25">
      <c r="A110" s="56" t="s">
        <v>19</v>
      </c>
      <c r="B110" s="54" t="s">
        <v>10</v>
      </c>
      <c r="C110" s="55">
        <v>1121931</v>
      </c>
      <c r="D110" s="55">
        <v>24374</v>
      </c>
      <c r="E110" s="55">
        <v>31876</v>
      </c>
      <c r="F110" s="55">
        <v>1495</v>
      </c>
      <c r="G110" s="55">
        <f t="shared" si="33"/>
        <v>57745</v>
      </c>
      <c r="H110" s="63">
        <v>379100</v>
      </c>
      <c r="I110" s="63">
        <v>495767</v>
      </c>
      <c r="J110" s="63">
        <v>23262</v>
      </c>
      <c r="K110" s="63">
        <f t="shared" si="34"/>
        <v>898129</v>
      </c>
      <c r="L110" s="63">
        <v>70093</v>
      </c>
      <c r="M110" s="63">
        <v>91663</v>
      </c>
      <c r="N110" s="63">
        <v>4301</v>
      </c>
      <c r="O110" s="63">
        <f t="shared" si="35"/>
        <v>166057</v>
      </c>
      <c r="R110" s="62">
        <f t="shared" si="36"/>
        <v>1121931</v>
      </c>
      <c r="S110" s="62">
        <f t="shared" si="37"/>
        <v>0</v>
      </c>
    </row>
    <row r="111" spans="1:34" ht="25.5" hidden="1" customHeight="1" x14ac:dyDescent="0.25">
      <c r="A111" s="56" t="s">
        <v>18</v>
      </c>
      <c r="B111" s="54" t="s">
        <v>9</v>
      </c>
      <c r="C111" s="55">
        <v>1051416</v>
      </c>
      <c r="D111" s="55">
        <v>94207</v>
      </c>
      <c r="E111" s="55">
        <v>156606</v>
      </c>
      <c r="F111" s="55">
        <v>2431</v>
      </c>
      <c r="G111" s="55">
        <f t="shared" si="33"/>
        <v>253244</v>
      </c>
      <c r="H111" s="63">
        <v>294362</v>
      </c>
      <c r="I111" s="63">
        <v>489337</v>
      </c>
      <c r="J111" s="63">
        <v>7596</v>
      </c>
      <c r="K111" s="63">
        <f t="shared" si="34"/>
        <v>791295</v>
      </c>
      <c r="L111" s="63">
        <v>2558</v>
      </c>
      <c r="M111" s="63">
        <v>4253</v>
      </c>
      <c r="N111" s="63">
        <v>66</v>
      </c>
      <c r="O111" s="63">
        <f t="shared" si="35"/>
        <v>6877</v>
      </c>
      <c r="R111" s="62">
        <f t="shared" si="36"/>
        <v>1051416</v>
      </c>
      <c r="S111" s="62">
        <f t="shared" si="37"/>
        <v>0</v>
      </c>
    </row>
    <row r="112" spans="1:34" ht="25.5" hidden="1" customHeight="1" x14ac:dyDescent="0.25">
      <c r="A112" s="56" t="s">
        <v>25</v>
      </c>
      <c r="B112" s="54" t="s">
        <v>8</v>
      </c>
      <c r="C112" s="55">
        <v>1429689</v>
      </c>
      <c r="D112" s="55">
        <v>10301</v>
      </c>
      <c r="E112" s="55">
        <v>46172</v>
      </c>
      <c r="F112" s="55">
        <v>0</v>
      </c>
      <c r="G112" s="55">
        <f t="shared" si="33"/>
        <v>56473</v>
      </c>
      <c r="H112" s="63">
        <v>167178</v>
      </c>
      <c r="I112" s="63">
        <v>749367</v>
      </c>
      <c r="J112" s="63">
        <v>0</v>
      </c>
      <c r="K112" s="63">
        <f t="shared" si="34"/>
        <v>916545</v>
      </c>
      <c r="L112" s="63">
        <v>83297</v>
      </c>
      <c r="M112" s="63">
        <v>373374</v>
      </c>
      <c r="N112" s="63">
        <v>0</v>
      </c>
      <c r="O112" s="63">
        <f t="shared" si="35"/>
        <v>456671</v>
      </c>
      <c r="R112" s="62">
        <f t="shared" si="36"/>
        <v>1429689</v>
      </c>
      <c r="S112" s="62">
        <f t="shared" si="37"/>
        <v>0</v>
      </c>
    </row>
    <row r="113" spans="1:34" ht="25.5" hidden="1" customHeight="1" x14ac:dyDescent="0.25">
      <c r="A113" s="56" t="s">
        <v>26</v>
      </c>
      <c r="B113" s="54" t="s">
        <v>7</v>
      </c>
      <c r="C113" s="55">
        <v>686432</v>
      </c>
      <c r="D113" s="55">
        <v>1583</v>
      </c>
      <c r="E113" s="55">
        <v>10958</v>
      </c>
      <c r="F113" s="55">
        <v>0</v>
      </c>
      <c r="G113" s="55">
        <f t="shared" si="33"/>
        <v>12541</v>
      </c>
      <c r="H113" s="63">
        <v>77322</v>
      </c>
      <c r="I113" s="63">
        <v>535374</v>
      </c>
      <c r="J113" s="63">
        <v>0</v>
      </c>
      <c r="K113" s="63">
        <f t="shared" si="34"/>
        <v>612696</v>
      </c>
      <c r="L113" s="63">
        <v>7723</v>
      </c>
      <c r="M113" s="63">
        <v>53472</v>
      </c>
      <c r="N113" s="63">
        <v>0</v>
      </c>
      <c r="O113" s="63">
        <f t="shared" si="35"/>
        <v>61195</v>
      </c>
      <c r="R113" s="62">
        <f t="shared" si="36"/>
        <v>686432</v>
      </c>
      <c r="S113" s="62">
        <f t="shared" si="37"/>
        <v>0</v>
      </c>
    </row>
    <row r="114" spans="1:34" ht="25.5" hidden="1" customHeight="1" x14ac:dyDescent="0.25">
      <c r="A114" s="56" t="s">
        <v>27</v>
      </c>
      <c r="B114" s="54" t="s">
        <v>6</v>
      </c>
      <c r="C114" s="55">
        <v>577106</v>
      </c>
      <c r="D114" s="55">
        <v>1837</v>
      </c>
      <c r="E114" s="55">
        <v>2148</v>
      </c>
      <c r="F114" s="55">
        <v>37</v>
      </c>
      <c r="G114" s="55">
        <f t="shared" si="33"/>
        <v>4022</v>
      </c>
      <c r="H114" s="63">
        <v>261389</v>
      </c>
      <c r="I114" s="63">
        <v>305622</v>
      </c>
      <c r="J114" s="63">
        <v>5207</v>
      </c>
      <c r="K114" s="63">
        <f t="shared" si="34"/>
        <v>572218</v>
      </c>
      <c r="L114" s="63">
        <v>396</v>
      </c>
      <c r="M114" s="63">
        <v>462</v>
      </c>
      <c r="N114" s="63">
        <v>8</v>
      </c>
      <c r="O114" s="63">
        <f t="shared" si="35"/>
        <v>866</v>
      </c>
      <c r="R114" s="62">
        <f t="shared" si="36"/>
        <v>577106</v>
      </c>
      <c r="S114" s="62">
        <f t="shared" si="37"/>
        <v>0</v>
      </c>
    </row>
    <row r="115" spans="1:34" ht="25.5" hidden="1" customHeight="1" x14ac:dyDescent="0.25">
      <c r="A115" s="56" t="s">
        <v>28</v>
      </c>
      <c r="B115" s="54" t="s">
        <v>5</v>
      </c>
      <c r="C115" s="55">
        <v>728498</v>
      </c>
      <c r="D115" s="55">
        <v>20853</v>
      </c>
      <c r="E115" s="55">
        <v>75067</v>
      </c>
      <c r="F115" s="55">
        <v>4868</v>
      </c>
      <c r="G115" s="55">
        <f t="shared" si="33"/>
        <v>100788</v>
      </c>
      <c r="H115" s="63">
        <v>128609</v>
      </c>
      <c r="I115" s="63">
        <v>462966</v>
      </c>
      <c r="J115" s="63">
        <v>30023</v>
      </c>
      <c r="K115" s="63">
        <f t="shared" si="34"/>
        <v>621598</v>
      </c>
      <c r="L115" s="63">
        <v>1265</v>
      </c>
      <c r="M115" s="63">
        <v>4552</v>
      </c>
      <c r="N115" s="63">
        <v>295</v>
      </c>
      <c r="O115" s="63">
        <f t="shared" si="35"/>
        <v>6112</v>
      </c>
      <c r="R115" s="62">
        <f t="shared" si="36"/>
        <v>728498</v>
      </c>
      <c r="S115" s="62">
        <f t="shared" si="37"/>
        <v>0</v>
      </c>
    </row>
    <row r="116" spans="1:34" ht="25.5" hidden="1" customHeight="1" x14ac:dyDescent="0.25">
      <c r="A116" s="56" t="s">
        <v>29</v>
      </c>
      <c r="B116" s="54" t="s">
        <v>4</v>
      </c>
      <c r="C116" s="55">
        <v>523659</v>
      </c>
      <c r="D116" s="55">
        <v>10155</v>
      </c>
      <c r="E116" s="55">
        <v>17109</v>
      </c>
      <c r="F116" s="55">
        <v>710</v>
      </c>
      <c r="G116" s="55">
        <f t="shared" si="33"/>
        <v>27974</v>
      </c>
      <c r="H116" s="63">
        <v>173990</v>
      </c>
      <c r="I116" s="63">
        <v>293146</v>
      </c>
      <c r="J116" s="63">
        <v>12174</v>
      </c>
      <c r="K116" s="63">
        <f t="shared" si="34"/>
        <v>479310</v>
      </c>
      <c r="L116" s="63">
        <v>5944</v>
      </c>
      <c r="M116" s="63">
        <v>10015</v>
      </c>
      <c r="N116" s="63">
        <v>416</v>
      </c>
      <c r="O116" s="63">
        <f t="shared" si="35"/>
        <v>16375</v>
      </c>
      <c r="R116" s="62">
        <f t="shared" si="36"/>
        <v>523659</v>
      </c>
      <c r="S116" s="62">
        <f t="shared" si="37"/>
        <v>0</v>
      </c>
    </row>
    <row r="117" spans="1:34" ht="25.5" hidden="1" customHeight="1" x14ac:dyDescent="0.25">
      <c r="A117" s="56">
        <v>14</v>
      </c>
      <c r="B117" s="54" t="s">
        <v>3</v>
      </c>
      <c r="C117" s="55">
        <v>913731</v>
      </c>
      <c r="D117" s="55">
        <v>43796</v>
      </c>
      <c r="E117" s="55">
        <v>21561</v>
      </c>
      <c r="F117" s="55">
        <v>2022</v>
      </c>
      <c r="G117" s="55">
        <f t="shared" si="33"/>
        <v>67379</v>
      </c>
      <c r="H117" s="63">
        <v>489335</v>
      </c>
      <c r="I117" s="63">
        <v>240903</v>
      </c>
      <c r="J117" s="63">
        <v>22585</v>
      </c>
      <c r="K117" s="63">
        <f t="shared" si="34"/>
        <v>752823</v>
      </c>
      <c r="L117" s="63">
        <v>60794</v>
      </c>
      <c r="M117" s="63">
        <v>29929</v>
      </c>
      <c r="N117" s="63">
        <v>2806</v>
      </c>
      <c r="O117" s="63">
        <f t="shared" si="35"/>
        <v>93529</v>
      </c>
      <c r="R117" s="62">
        <f t="shared" si="36"/>
        <v>913731</v>
      </c>
      <c r="S117" s="62">
        <f t="shared" si="37"/>
        <v>0</v>
      </c>
    </row>
    <row r="118" spans="1:34" ht="54" hidden="1" customHeight="1" x14ac:dyDescent="0.25">
      <c r="A118" s="56" t="s">
        <v>30</v>
      </c>
      <c r="B118" s="54" t="s">
        <v>2</v>
      </c>
      <c r="C118" s="55">
        <v>103086</v>
      </c>
      <c r="D118" s="55">
        <v>2920</v>
      </c>
      <c r="E118" s="55">
        <v>0</v>
      </c>
      <c r="F118" s="55">
        <v>0</v>
      </c>
      <c r="G118" s="55">
        <f t="shared" si="33"/>
        <v>2920</v>
      </c>
      <c r="H118" s="63">
        <v>86300</v>
      </c>
      <c r="I118" s="63">
        <v>0</v>
      </c>
      <c r="J118" s="63">
        <v>0</v>
      </c>
      <c r="K118" s="63">
        <f t="shared" si="34"/>
        <v>86300</v>
      </c>
      <c r="L118" s="63">
        <v>13866</v>
      </c>
      <c r="M118" s="63">
        <v>0</v>
      </c>
      <c r="N118" s="63">
        <v>0</v>
      </c>
      <c r="O118" s="63">
        <f t="shared" si="35"/>
        <v>13866</v>
      </c>
      <c r="R118" s="62">
        <f t="shared" si="36"/>
        <v>103086</v>
      </c>
      <c r="S118" s="62">
        <f t="shared" si="37"/>
        <v>0</v>
      </c>
    </row>
    <row r="119" spans="1:34" ht="39.75" hidden="1" customHeight="1" x14ac:dyDescent="0.25">
      <c r="A119" s="56" t="s">
        <v>31</v>
      </c>
      <c r="B119" s="54" t="s">
        <v>1</v>
      </c>
      <c r="C119" s="55">
        <v>55383</v>
      </c>
      <c r="D119" s="55">
        <v>4119</v>
      </c>
      <c r="E119" s="55">
        <v>0</v>
      </c>
      <c r="F119" s="55">
        <v>0</v>
      </c>
      <c r="G119" s="55">
        <f t="shared" si="33"/>
        <v>4119</v>
      </c>
      <c r="H119" s="63">
        <v>49030</v>
      </c>
      <c r="I119" s="63">
        <v>0</v>
      </c>
      <c r="J119" s="63">
        <v>0</v>
      </c>
      <c r="K119" s="63">
        <f t="shared" si="34"/>
        <v>49030</v>
      </c>
      <c r="L119" s="63">
        <v>2234</v>
      </c>
      <c r="M119" s="63">
        <v>0</v>
      </c>
      <c r="N119" s="63">
        <v>0</v>
      </c>
      <c r="O119" s="63">
        <f t="shared" si="35"/>
        <v>2234</v>
      </c>
      <c r="R119" s="62">
        <f t="shared" si="36"/>
        <v>55383</v>
      </c>
      <c r="S119" s="62">
        <f t="shared" si="37"/>
        <v>0</v>
      </c>
    </row>
    <row r="120" spans="1:34" ht="33" hidden="1" customHeight="1" x14ac:dyDescent="0.25">
      <c r="A120" s="56" t="s">
        <v>32</v>
      </c>
      <c r="B120" s="54" t="s">
        <v>73</v>
      </c>
      <c r="C120" s="55">
        <v>61242</v>
      </c>
      <c r="D120" s="55">
        <v>12045</v>
      </c>
      <c r="E120" s="55">
        <v>0</v>
      </c>
      <c r="F120" s="55">
        <v>0</v>
      </c>
      <c r="G120" s="55">
        <f t="shared" si="33"/>
        <v>12045</v>
      </c>
      <c r="H120" s="63">
        <v>39432</v>
      </c>
      <c r="I120" s="63">
        <v>0</v>
      </c>
      <c r="J120" s="63">
        <v>0</v>
      </c>
      <c r="K120" s="63">
        <f t="shared" si="34"/>
        <v>39432</v>
      </c>
      <c r="L120" s="63">
        <v>9765</v>
      </c>
      <c r="M120" s="63">
        <v>0</v>
      </c>
      <c r="N120" s="63">
        <v>0</v>
      </c>
      <c r="O120" s="63">
        <f t="shared" si="35"/>
        <v>9765</v>
      </c>
      <c r="R120" s="62">
        <f t="shared" si="36"/>
        <v>61242</v>
      </c>
      <c r="S120" s="62">
        <f t="shared" si="37"/>
        <v>0</v>
      </c>
    </row>
    <row r="121" spans="1:34" ht="33" hidden="1" customHeight="1" x14ac:dyDescent="0.25">
      <c r="A121" s="56" t="s">
        <v>90</v>
      </c>
      <c r="B121" s="70" t="s">
        <v>91</v>
      </c>
      <c r="C121" s="55">
        <f>E121+I121+M121</f>
        <v>61662</v>
      </c>
      <c r="D121" s="55">
        <v>0</v>
      </c>
      <c r="E121" s="55">
        <v>10436</v>
      </c>
      <c r="F121" s="55">
        <v>0</v>
      </c>
      <c r="G121" s="55">
        <f t="shared" si="33"/>
        <v>10436</v>
      </c>
      <c r="H121" s="63">
        <v>0</v>
      </c>
      <c r="I121" s="63">
        <v>34306</v>
      </c>
      <c r="J121" s="63">
        <v>0</v>
      </c>
      <c r="K121" s="63">
        <f t="shared" si="34"/>
        <v>34306</v>
      </c>
      <c r="L121" s="63">
        <v>0</v>
      </c>
      <c r="M121" s="63">
        <v>16920</v>
      </c>
      <c r="N121" s="63">
        <v>0</v>
      </c>
      <c r="O121" s="63">
        <f t="shared" si="35"/>
        <v>16920</v>
      </c>
      <c r="R121" s="62">
        <f t="shared" si="36"/>
        <v>61662</v>
      </c>
      <c r="S121" s="62">
        <f>R121-C121</f>
        <v>0</v>
      </c>
    </row>
    <row r="122" spans="1:34" ht="25.5" hidden="1" customHeight="1" x14ac:dyDescent="0.25">
      <c r="A122" s="57"/>
      <c r="B122" s="57" t="s">
        <v>0</v>
      </c>
      <c r="C122" s="58">
        <f>SUM(C104:C121)</f>
        <v>14882642</v>
      </c>
      <c r="D122" s="58">
        <f>SUM(D104:D121)</f>
        <v>421546</v>
      </c>
      <c r="E122" s="58">
        <f t="shared" ref="E122:O122" si="38">SUM(E104:E121)</f>
        <v>1231275</v>
      </c>
      <c r="F122" s="58">
        <f t="shared" si="38"/>
        <v>16522</v>
      </c>
      <c r="G122" s="58">
        <f t="shared" si="38"/>
        <v>1669343</v>
      </c>
      <c r="H122" s="58">
        <f t="shared" si="38"/>
        <v>2924717</v>
      </c>
      <c r="I122" s="58">
        <f t="shared" si="38"/>
        <v>8018755</v>
      </c>
      <c r="J122" s="58">
        <f t="shared" si="38"/>
        <v>125131</v>
      </c>
      <c r="K122" s="58">
        <f t="shared" si="38"/>
        <v>11068603</v>
      </c>
      <c r="L122" s="58">
        <f t="shared" si="38"/>
        <v>477512</v>
      </c>
      <c r="M122" s="58">
        <f t="shared" si="38"/>
        <v>1652308</v>
      </c>
      <c r="N122" s="58">
        <f t="shared" si="38"/>
        <v>14876</v>
      </c>
      <c r="O122" s="58">
        <f t="shared" si="38"/>
        <v>2144696</v>
      </c>
      <c r="R122" s="62">
        <f t="shared" si="36"/>
        <v>14882642</v>
      </c>
      <c r="S122" s="62">
        <f t="shared" si="37"/>
        <v>0</v>
      </c>
    </row>
    <row r="123" spans="1:34" hidden="1" x14ac:dyDescent="0.25"/>
    <row r="124" spans="1:34" s="4" customFormat="1" ht="28.5" hidden="1" customHeight="1" x14ac:dyDescent="0.25">
      <c r="A124" s="152" t="s">
        <v>17</v>
      </c>
      <c r="B124" s="152" t="s">
        <v>33</v>
      </c>
      <c r="C124" s="152" t="s">
        <v>78</v>
      </c>
      <c r="D124" s="152" t="s">
        <v>69</v>
      </c>
      <c r="E124" s="152"/>
      <c r="F124" s="152"/>
      <c r="G124" s="152"/>
      <c r="H124" s="152"/>
      <c r="I124" s="152"/>
      <c r="J124" s="152"/>
      <c r="K124" s="152"/>
      <c r="L124" s="152"/>
      <c r="M124" s="152"/>
      <c r="N124" s="152"/>
      <c r="O124" s="152"/>
      <c r="R124" s="61"/>
      <c r="S124" s="61"/>
      <c r="V124" s="61"/>
      <c r="W124" s="61"/>
      <c r="X124" s="61"/>
      <c r="Y124" s="61"/>
      <c r="Z124" s="61"/>
      <c r="AC124" s="95"/>
      <c r="AD124" s="95"/>
      <c r="AE124" s="95"/>
      <c r="AF124" s="95"/>
      <c r="AG124" s="93"/>
      <c r="AH124" s="95"/>
    </row>
    <row r="125" spans="1:34" s="4" customFormat="1" ht="41.25" hidden="1" customHeight="1" x14ac:dyDescent="0.25">
      <c r="A125" s="152"/>
      <c r="B125" s="152"/>
      <c r="C125" s="152"/>
      <c r="D125" s="154" t="s">
        <v>36</v>
      </c>
      <c r="E125" s="154"/>
      <c r="F125" s="154"/>
      <c r="G125" s="154"/>
      <c r="H125" s="155" t="s">
        <v>37</v>
      </c>
      <c r="I125" s="156"/>
      <c r="J125" s="156"/>
      <c r="K125" s="157"/>
      <c r="L125" s="155" t="s">
        <v>38</v>
      </c>
      <c r="M125" s="156"/>
      <c r="N125" s="156"/>
      <c r="O125" s="157"/>
      <c r="R125" s="61"/>
      <c r="S125" s="61"/>
      <c r="V125" s="61"/>
      <c r="W125" s="61"/>
      <c r="X125" s="61"/>
      <c r="Y125" s="61"/>
      <c r="Z125" s="61"/>
      <c r="AC125" s="95"/>
      <c r="AD125" s="95"/>
      <c r="AE125" s="95"/>
      <c r="AF125" s="95"/>
      <c r="AG125" s="93"/>
      <c r="AH125" s="95"/>
    </row>
    <row r="126" spans="1:34" s="4" customFormat="1" ht="59.25" hidden="1" customHeight="1" x14ac:dyDescent="0.25">
      <c r="A126" s="152"/>
      <c r="B126" s="152"/>
      <c r="C126" s="152"/>
      <c r="D126" s="59" t="s">
        <v>66</v>
      </c>
      <c r="E126" s="59" t="s">
        <v>67</v>
      </c>
      <c r="F126" s="59" t="s">
        <v>68</v>
      </c>
      <c r="G126" s="59" t="s">
        <v>70</v>
      </c>
      <c r="H126" s="65" t="s">
        <v>66</v>
      </c>
      <c r="I126" s="65" t="s">
        <v>67</v>
      </c>
      <c r="J126" s="65" t="s">
        <v>68</v>
      </c>
      <c r="K126" s="65" t="s">
        <v>71</v>
      </c>
      <c r="L126" s="65" t="s">
        <v>66</v>
      </c>
      <c r="M126" s="65" t="s">
        <v>67</v>
      </c>
      <c r="N126" s="65" t="s">
        <v>68</v>
      </c>
      <c r="O126" s="65" t="s">
        <v>72</v>
      </c>
      <c r="R126" s="61"/>
      <c r="S126" s="61"/>
      <c r="V126" s="61"/>
      <c r="W126" s="61"/>
      <c r="X126" s="61"/>
      <c r="Y126" s="61"/>
      <c r="Z126" s="61"/>
      <c r="AC126" s="95"/>
      <c r="AD126" s="95"/>
      <c r="AE126" s="95"/>
      <c r="AF126" s="95"/>
      <c r="AG126" s="93"/>
      <c r="AH126" s="95"/>
    </row>
    <row r="127" spans="1:34" s="3" customFormat="1" ht="14.25" hidden="1" customHeight="1" x14ac:dyDescent="0.25">
      <c r="A127" s="53">
        <v>1</v>
      </c>
      <c r="B127" s="53">
        <v>2</v>
      </c>
      <c r="C127" s="53">
        <v>3</v>
      </c>
      <c r="D127" s="53">
        <v>4</v>
      </c>
      <c r="E127" s="53">
        <v>5</v>
      </c>
      <c r="F127" s="53">
        <v>6</v>
      </c>
      <c r="G127" s="53">
        <v>7</v>
      </c>
      <c r="H127" s="66">
        <v>8</v>
      </c>
      <c r="I127" s="66">
        <v>9</v>
      </c>
      <c r="J127" s="66">
        <v>10</v>
      </c>
      <c r="K127" s="66">
        <v>11</v>
      </c>
      <c r="L127" s="66">
        <v>12</v>
      </c>
      <c r="M127" s="66">
        <v>13</v>
      </c>
      <c r="N127" s="66">
        <v>14</v>
      </c>
      <c r="O127" s="66">
        <v>15</v>
      </c>
      <c r="R127" s="61"/>
      <c r="S127" s="61"/>
      <c r="V127" s="61"/>
      <c r="W127" s="61"/>
      <c r="X127" s="61"/>
      <c r="Y127" s="61"/>
      <c r="Z127" s="61"/>
      <c r="AC127" s="95"/>
      <c r="AD127" s="95"/>
      <c r="AE127" s="95"/>
      <c r="AF127" s="95"/>
      <c r="AG127" s="94"/>
      <c r="AH127" s="95"/>
    </row>
    <row r="128" spans="1:34" s="3" customFormat="1" ht="25.5" hidden="1" customHeight="1" x14ac:dyDescent="0.25">
      <c r="A128" s="53" t="s">
        <v>16</v>
      </c>
      <c r="B128" s="54" t="s">
        <v>15</v>
      </c>
      <c r="C128" s="55">
        <v>2452837</v>
      </c>
      <c r="D128" s="55">
        <v>76237</v>
      </c>
      <c r="E128" s="55">
        <v>306479</v>
      </c>
      <c r="F128" s="55">
        <v>0</v>
      </c>
      <c r="G128" s="55">
        <f>D128+E128+F128</f>
        <v>382716</v>
      </c>
      <c r="H128" s="63">
        <v>321463</v>
      </c>
      <c r="I128" s="63">
        <v>1292307</v>
      </c>
      <c r="J128" s="63">
        <v>0</v>
      </c>
      <c r="K128" s="63">
        <f>H128+I128+J128</f>
        <v>1613770</v>
      </c>
      <c r="L128" s="63">
        <v>90905</v>
      </c>
      <c r="M128" s="63">
        <v>365446</v>
      </c>
      <c r="N128" s="63">
        <v>0</v>
      </c>
      <c r="O128" s="63">
        <f>L128+M128+N128</f>
        <v>456351</v>
      </c>
      <c r="R128" s="62">
        <f>G128+K128+O128</f>
        <v>2452837</v>
      </c>
      <c r="S128" s="62">
        <f>R128-C128</f>
        <v>0</v>
      </c>
      <c r="V128" s="61"/>
      <c r="W128" s="61"/>
      <c r="X128" s="61"/>
      <c r="Y128" s="61"/>
      <c r="Z128" s="61"/>
      <c r="AC128" s="95"/>
      <c r="AD128" s="95"/>
      <c r="AE128" s="95"/>
      <c r="AF128" s="95"/>
      <c r="AG128" s="94"/>
      <c r="AH128" s="95"/>
    </row>
    <row r="129" spans="1:19" customFormat="1" ht="40.5" hidden="1" customHeight="1" x14ac:dyDescent="0.25">
      <c r="A129" s="56" t="s">
        <v>24</v>
      </c>
      <c r="B129" s="54" t="s">
        <v>14</v>
      </c>
      <c r="C129" s="55">
        <v>273447</v>
      </c>
      <c r="D129" s="55">
        <v>28978</v>
      </c>
      <c r="E129" s="55">
        <v>26830</v>
      </c>
      <c r="F129" s="55">
        <v>855</v>
      </c>
      <c r="G129" s="55">
        <f t="shared" ref="G129:G145" si="39">D129+E129+F129</f>
        <v>56663</v>
      </c>
      <c r="H129" s="63">
        <v>85160</v>
      </c>
      <c r="I129" s="63">
        <v>78849</v>
      </c>
      <c r="J129" s="63">
        <v>2515</v>
      </c>
      <c r="K129" s="63">
        <f t="shared" ref="K129:K145" si="40">H129+I129+J129</f>
        <v>166524</v>
      </c>
      <c r="L129" s="63">
        <v>25703</v>
      </c>
      <c r="M129" s="63">
        <v>23798</v>
      </c>
      <c r="N129" s="63">
        <v>759</v>
      </c>
      <c r="O129" s="63">
        <f t="shared" ref="O129:O145" si="41">L129+M129+N129</f>
        <v>50260</v>
      </c>
      <c r="R129" s="62">
        <f t="shared" ref="R129:R146" si="42">G129+K129+O129</f>
        <v>273447</v>
      </c>
      <c r="S129" s="62">
        <f t="shared" ref="S129:S146" si="43">R129-C129</f>
        <v>0</v>
      </c>
    </row>
    <row r="130" spans="1:19" customFormat="1" ht="34.5" hidden="1" customHeight="1" x14ac:dyDescent="0.25">
      <c r="A130" s="56" t="s">
        <v>23</v>
      </c>
      <c r="B130" s="54" t="s">
        <v>13</v>
      </c>
      <c r="C130" s="55">
        <v>617701</v>
      </c>
      <c r="D130" s="55">
        <v>0</v>
      </c>
      <c r="E130" s="55">
        <v>35011</v>
      </c>
      <c r="F130" s="55">
        <v>0</v>
      </c>
      <c r="G130" s="55">
        <f t="shared" si="39"/>
        <v>35011</v>
      </c>
      <c r="H130" s="63">
        <v>0</v>
      </c>
      <c r="I130" s="63">
        <v>518962</v>
      </c>
      <c r="J130" s="63">
        <v>0</v>
      </c>
      <c r="K130" s="63">
        <f t="shared" si="40"/>
        <v>518962</v>
      </c>
      <c r="L130" s="63">
        <v>0</v>
      </c>
      <c r="M130" s="63">
        <v>63728</v>
      </c>
      <c r="N130" s="63">
        <v>0</v>
      </c>
      <c r="O130" s="63">
        <f t="shared" si="41"/>
        <v>63728</v>
      </c>
      <c r="R130" s="62">
        <f t="shared" si="42"/>
        <v>617701</v>
      </c>
      <c r="S130" s="62">
        <f t="shared" si="43"/>
        <v>0</v>
      </c>
    </row>
    <row r="131" spans="1:19" customFormat="1" ht="40.5" hidden="1" customHeight="1" x14ac:dyDescent="0.25">
      <c r="A131" s="56" t="s">
        <v>22</v>
      </c>
      <c r="B131" s="54" t="s">
        <v>12</v>
      </c>
      <c r="C131" s="55">
        <v>111559</v>
      </c>
      <c r="D131" s="55">
        <v>12832</v>
      </c>
      <c r="E131" s="55">
        <v>0</v>
      </c>
      <c r="F131" s="55">
        <v>0</v>
      </c>
      <c r="G131" s="55">
        <f t="shared" si="39"/>
        <v>12832</v>
      </c>
      <c r="H131" s="63">
        <v>83460</v>
      </c>
      <c r="I131" s="63">
        <v>0</v>
      </c>
      <c r="J131" s="63">
        <v>0</v>
      </c>
      <c r="K131" s="63">
        <f t="shared" si="40"/>
        <v>83460</v>
      </c>
      <c r="L131" s="63">
        <v>15267</v>
      </c>
      <c r="M131" s="63">
        <v>0</v>
      </c>
      <c r="N131" s="63">
        <v>0</v>
      </c>
      <c r="O131" s="63">
        <f t="shared" si="41"/>
        <v>15267</v>
      </c>
      <c r="R131" s="62">
        <f t="shared" si="42"/>
        <v>111559</v>
      </c>
      <c r="S131" s="62">
        <f t="shared" si="43"/>
        <v>0</v>
      </c>
    </row>
    <row r="132" spans="1:19" customFormat="1" ht="39.75" hidden="1" customHeight="1" x14ac:dyDescent="0.25">
      <c r="A132" s="56" t="s">
        <v>21</v>
      </c>
      <c r="B132" s="54" t="s">
        <v>11</v>
      </c>
      <c r="C132" s="55">
        <v>115037</v>
      </c>
      <c r="D132" s="55">
        <v>4518</v>
      </c>
      <c r="E132" s="55">
        <v>7086</v>
      </c>
      <c r="F132" s="55">
        <v>3103</v>
      </c>
      <c r="G132" s="55">
        <f t="shared" si="39"/>
        <v>14707</v>
      </c>
      <c r="H132" s="63">
        <v>23968</v>
      </c>
      <c r="I132" s="63">
        <v>37590</v>
      </c>
      <c r="J132" s="63">
        <v>16462</v>
      </c>
      <c r="K132" s="63">
        <f t="shared" si="40"/>
        <v>78020</v>
      </c>
      <c r="L132" s="63">
        <v>6854</v>
      </c>
      <c r="M132" s="63">
        <v>10749</v>
      </c>
      <c r="N132" s="63">
        <v>4707</v>
      </c>
      <c r="O132" s="63">
        <f t="shared" si="41"/>
        <v>22310</v>
      </c>
      <c r="R132" s="62">
        <f t="shared" si="42"/>
        <v>115037</v>
      </c>
      <c r="S132" s="62">
        <f t="shared" si="43"/>
        <v>0</v>
      </c>
    </row>
    <row r="133" spans="1:19" customFormat="1" ht="28.5" hidden="1" customHeight="1" x14ac:dyDescent="0.25">
      <c r="A133" s="56" t="s">
        <v>20</v>
      </c>
      <c r="B133" s="54" t="s">
        <v>34</v>
      </c>
      <c r="C133" s="55">
        <v>204496</v>
      </c>
      <c r="D133" s="55">
        <v>38278</v>
      </c>
      <c r="E133" s="55">
        <v>0</v>
      </c>
      <c r="F133" s="55">
        <v>0</v>
      </c>
      <c r="G133" s="55">
        <f t="shared" si="39"/>
        <v>38278</v>
      </c>
      <c r="H133" s="63">
        <v>124941</v>
      </c>
      <c r="I133" s="63">
        <v>0</v>
      </c>
      <c r="J133" s="63">
        <v>0</v>
      </c>
      <c r="K133" s="63">
        <f t="shared" si="40"/>
        <v>124941</v>
      </c>
      <c r="L133" s="63">
        <v>41277</v>
      </c>
      <c r="M133" s="63">
        <v>0</v>
      </c>
      <c r="N133" s="63">
        <v>0</v>
      </c>
      <c r="O133" s="63">
        <f t="shared" si="41"/>
        <v>41277</v>
      </c>
      <c r="R133" s="62">
        <f t="shared" si="42"/>
        <v>204496</v>
      </c>
      <c r="S133" s="62">
        <f t="shared" si="43"/>
        <v>0</v>
      </c>
    </row>
    <row r="134" spans="1:19" customFormat="1" ht="34.5" hidden="1" customHeight="1" x14ac:dyDescent="0.25">
      <c r="A134" s="56" t="s">
        <v>19</v>
      </c>
      <c r="B134" s="54" t="s">
        <v>10</v>
      </c>
      <c r="C134" s="55">
        <v>785825</v>
      </c>
      <c r="D134" s="55">
        <v>17072</v>
      </c>
      <c r="E134" s="55">
        <v>22330</v>
      </c>
      <c r="F134" s="55">
        <v>1044</v>
      </c>
      <c r="G134" s="55">
        <f t="shared" si="39"/>
        <v>40446</v>
      </c>
      <c r="H134" s="63">
        <v>265530</v>
      </c>
      <c r="I134" s="63">
        <v>347309</v>
      </c>
      <c r="J134" s="63">
        <v>16230</v>
      </c>
      <c r="K134" s="63">
        <f t="shared" si="40"/>
        <v>629069</v>
      </c>
      <c r="L134" s="63">
        <v>49094</v>
      </c>
      <c r="M134" s="63">
        <v>64215</v>
      </c>
      <c r="N134" s="63">
        <v>3001</v>
      </c>
      <c r="O134" s="63">
        <f t="shared" si="41"/>
        <v>116310</v>
      </c>
      <c r="R134" s="62">
        <f t="shared" si="42"/>
        <v>785825</v>
      </c>
      <c r="S134" s="62">
        <f t="shared" si="43"/>
        <v>0</v>
      </c>
    </row>
    <row r="135" spans="1:19" customFormat="1" ht="25.5" hidden="1" customHeight="1" x14ac:dyDescent="0.25">
      <c r="A135" s="56" t="s">
        <v>18</v>
      </c>
      <c r="B135" s="54" t="s">
        <v>9</v>
      </c>
      <c r="C135" s="55">
        <v>356070</v>
      </c>
      <c r="D135" s="55">
        <v>22813</v>
      </c>
      <c r="E135" s="55">
        <v>62950</v>
      </c>
      <c r="F135" s="55">
        <v>0</v>
      </c>
      <c r="G135" s="55">
        <f t="shared" si="39"/>
        <v>85763</v>
      </c>
      <c r="H135" s="63">
        <v>71282</v>
      </c>
      <c r="I135" s="63">
        <v>196696</v>
      </c>
      <c r="J135" s="63">
        <v>0</v>
      </c>
      <c r="K135" s="63">
        <f t="shared" si="40"/>
        <v>267978</v>
      </c>
      <c r="L135" s="63">
        <v>620</v>
      </c>
      <c r="M135" s="63">
        <v>1709</v>
      </c>
      <c r="N135" s="63">
        <v>0</v>
      </c>
      <c r="O135" s="63">
        <f t="shared" si="41"/>
        <v>2329</v>
      </c>
      <c r="R135" s="62">
        <f t="shared" si="42"/>
        <v>356070</v>
      </c>
      <c r="S135" s="62">
        <f t="shared" si="43"/>
        <v>0</v>
      </c>
    </row>
    <row r="136" spans="1:19" customFormat="1" ht="25.5" hidden="1" customHeight="1" x14ac:dyDescent="0.25">
      <c r="A136" s="56" t="s">
        <v>25</v>
      </c>
      <c r="B136" s="54" t="s">
        <v>8</v>
      </c>
      <c r="C136" s="55">
        <v>933494</v>
      </c>
      <c r="D136" s="55">
        <v>6173</v>
      </c>
      <c r="E136" s="55">
        <v>30700</v>
      </c>
      <c r="F136" s="55">
        <v>0</v>
      </c>
      <c r="G136" s="55">
        <f t="shared" si="39"/>
        <v>36873</v>
      </c>
      <c r="H136" s="63">
        <v>100180</v>
      </c>
      <c r="I136" s="63">
        <v>498264</v>
      </c>
      <c r="J136" s="63">
        <v>0</v>
      </c>
      <c r="K136" s="63">
        <f t="shared" si="40"/>
        <v>598444</v>
      </c>
      <c r="L136" s="63">
        <v>49915</v>
      </c>
      <c r="M136" s="63">
        <v>248262</v>
      </c>
      <c r="N136" s="63">
        <v>0</v>
      </c>
      <c r="O136" s="63">
        <f t="shared" si="41"/>
        <v>298177</v>
      </c>
      <c r="R136" s="62">
        <f t="shared" si="42"/>
        <v>933494</v>
      </c>
      <c r="S136" s="62">
        <f t="shared" si="43"/>
        <v>0</v>
      </c>
    </row>
    <row r="137" spans="1:19" customFormat="1" ht="25.5" hidden="1" customHeight="1" x14ac:dyDescent="0.25">
      <c r="A137" s="56" t="s">
        <v>26</v>
      </c>
      <c r="B137" s="54" t="s">
        <v>7</v>
      </c>
      <c r="C137" s="55">
        <v>486223</v>
      </c>
      <c r="D137" s="55">
        <v>1196</v>
      </c>
      <c r="E137" s="55">
        <v>7687</v>
      </c>
      <c r="F137" s="55">
        <v>0</v>
      </c>
      <c r="G137" s="55">
        <f t="shared" si="39"/>
        <v>8883</v>
      </c>
      <c r="H137" s="63">
        <v>58459</v>
      </c>
      <c r="I137" s="63">
        <v>375534</v>
      </c>
      <c r="J137" s="63">
        <v>0</v>
      </c>
      <c r="K137" s="63">
        <f t="shared" si="40"/>
        <v>433993</v>
      </c>
      <c r="L137" s="63">
        <v>5839</v>
      </c>
      <c r="M137" s="63">
        <v>37508</v>
      </c>
      <c r="N137" s="63">
        <v>0</v>
      </c>
      <c r="O137" s="63">
        <f t="shared" si="41"/>
        <v>43347</v>
      </c>
      <c r="R137" s="62">
        <f t="shared" si="42"/>
        <v>486223</v>
      </c>
      <c r="S137" s="62">
        <f t="shared" si="43"/>
        <v>0</v>
      </c>
    </row>
    <row r="138" spans="1:19" customFormat="1" ht="25.5" hidden="1" customHeight="1" x14ac:dyDescent="0.25">
      <c r="A138" s="56" t="s">
        <v>27</v>
      </c>
      <c r="B138" s="54" t="s">
        <v>6</v>
      </c>
      <c r="C138" s="55">
        <v>344323</v>
      </c>
      <c r="D138" s="55">
        <v>1076</v>
      </c>
      <c r="E138" s="55">
        <v>1299</v>
      </c>
      <c r="F138" s="55">
        <v>25</v>
      </c>
      <c r="G138" s="55">
        <f t="shared" si="39"/>
        <v>2400</v>
      </c>
      <c r="H138" s="63">
        <v>153053</v>
      </c>
      <c r="I138" s="63">
        <v>184769</v>
      </c>
      <c r="J138" s="63">
        <v>3585</v>
      </c>
      <c r="K138" s="63">
        <f t="shared" si="40"/>
        <v>341407</v>
      </c>
      <c r="L138" s="63">
        <v>231</v>
      </c>
      <c r="M138" s="63">
        <v>280</v>
      </c>
      <c r="N138" s="63">
        <v>5</v>
      </c>
      <c r="O138" s="63">
        <f t="shared" si="41"/>
        <v>516</v>
      </c>
      <c r="R138" s="62">
        <f t="shared" si="42"/>
        <v>344323</v>
      </c>
      <c r="S138" s="62">
        <f t="shared" si="43"/>
        <v>0</v>
      </c>
    </row>
    <row r="139" spans="1:19" customFormat="1" ht="25.5" hidden="1" customHeight="1" x14ac:dyDescent="0.25">
      <c r="A139" s="56" t="s">
        <v>28</v>
      </c>
      <c r="B139" s="54" t="s">
        <v>5</v>
      </c>
      <c r="C139" s="55">
        <v>781685</v>
      </c>
      <c r="D139" s="55">
        <v>68900</v>
      </c>
      <c r="E139" s="55">
        <v>37181</v>
      </c>
      <c r="F139" s="55">
        <v>2066</v>
      </c>
      <c r="G139" s="55">
        <f t="shared" si="39"/>
        <v>108147</v>
      </c>
      <c r="H139" s="63">
        <v>424933</v>
      </c>
      <c r="I139" s="63">
        <v>229308</v>
      </c>
      <c r="J139" s="63">
        <v>12739</v>
      </c>
      <c r="K139" s="63">
        <f t="shared" si="40"/>
        <v>666980</v>
      </c>
      <c r="L139" s="63">
        <v>4178</v>
      </c>
      <c r="M139" s="63">
        <v>2255</v>
      </c>
      <c r="N139" s="63">
        <v>125</v>
      </c>
      <c r="O139" s="63">
        <f t="shared" si="41"/>
        <v>6558</v>
      </c>
      <c r="R139" s="62">
        <f t="shared" si="42"/>
        <v>781685</v>
      </c>
      <c r="S139" s="62">
        <f t="shared" si="43"/>
        <v>0</v>
      </c>
    </row>
    <row r="140" spans="1:19" customFormat="1" ht="25.5" hidden="1" customHeight="1" x14ac:dyDescent="0.25">
      <c r="A140" s="56" t="s">
        <v>29</v>
      </c>
      <c r="B140" s="54" t="s">
        <v>4</v>
      </c>
      <c r="C140" s="55">
        <v>319521</v>
      </c>
      <c r="D140" s="55">
        <v>6196</v>
      </c>
      <c r="E140" s="55">
        <v>10441</v>
      </c>
      <c r="F140" s="55">
        <v>432</v>
      </c>
      <c r="G140" s="55">
        <f t="shared" si="39"/>
        <v>17069</v>
      </c>
      <c r="H140" s="63">
        <v>106163</v>
      </c>
      <c r="I140" s="63">
        <v>178898</v>
      </c>
      <c r="J140" s="63">
        <v>7399</v>
      </c>
      <c r="K140" s="63">
        <f t="shared" si="40"/>
        <v>292460</v>
      </c>
      <c r="L140" s="63">
        <v>3627</v>
      </c>
      <c r="M140" s="63">
        <v>6112</v>
      </c>
      <c r="N140" s="63">
        <v>253</v>
      </c>
      <c r="O140" s="63">
        <f t="shared" si="41"/>
        <v>9992</v>
      </c>
      <c r="R140" s="62">
        <f t="shared" si="42"/>
        <v>319521</v>
      </c>
      <c r="S140" s="62">
        <f t="shared" si="43"/>
        <v>0</v>
      </c>
    </row>
    <row r="141" spans="1:19" customFormat="1" ht="25.5" hidden="1" customHeight="1" x14ac:dyDescent="0.25">
      <c r="A141" s="56">
        <v>14</v>
      </c>
      <c r="B141" s="54" t="s">
        <v>3</v>
      </c>
      <c r="C141" s="55">
        <v>677960</v>
      </c>
      <c r="D141" s="55">
        <v>32495</v>
      </c>
      <c r="E141" s="55">
        <v>15997</v>
      </c>
      <c r="F141" s="55">
        <v>1500</v>
      </c>
      <c r="G141" s="55">
        <f t="shared" si="39"/>
        <v>49992</v>
      </c>
      <c r="H141" s="63">
        <v>363072</v>
      </c>
      <c r="I141" s="63">
        <v>178743</v>
      </c>
      <c r="J141" s="63">
        <v>16757</v>
      </c>
      <c r="K141" s="63">
        <f t="shared" si="40"/>
        <v>558572</v>
      </c>
      <c r="L141" s="63">
        <v>45107</v>
      </c>
      <c r="M141" s="63">
        <v>22207</v>
      </c>
      <c r="N141" s="63">
        <v>2082</v>
      </c>
      <c r="O141" s="63">
        <f t="shared" si="41"/>
        <v>69396</v>
      </c>
      <c r="R141" s="62">
        <f t="shared" si="42"/>
        <v>677960</v>
      </c>
      <c r="S141" s="62">
        <f t="shared" si="43"/>
        <v>0</v>
      </c>
    </row>
    <row r="142" spans="1:19" customFormat="1" ht="54" hidden="1" customHeight="1" x14ac:dyDescent="0.25">
      <c r="A142" s="56" t="s">
        <v>30</v>
      </c>
      <c r="B142" s="54" t="s">
        <v>2</v>
      </c>
      <c r="C142" s="55">
        <v>41607</v>
      </c>
      <c r="D142" s="55">
        <v>1178</v>
      </c>
      <c r="E142" s="55">
        <v>0</v>
      </c>
      <c r="F142" s="55">
        <v>0</v>
      </c>
      <c r="G142" s="55">
        <f t="shared" si="39"/>
        <v>1178</v>
      </c>
      <c r="H142" s="63">
        <v>34832</v>
      </c>
      <c r="I142" s="63">
        <v>0</v>
      </c>
      <c r="J142" s="63">
        <v>0</v>
      </c>
      <c r="K142" s="63">
        <f t="shared" si="40"/>
        <v>34832</v>
      </c>
      <c r="L142" s="63">
        <v>5597</v>
      </c>
      <c r="M142" s="63">
        <v>0</v>
      </c>
      <c r="N142" s="63">
        <v>0</v>
      </c>
      <c r="O142" s="63">
        <f t="shared" si="41"/>
        <v>5597</v>
      </c>
      <c r="R142" s="62">
        <f t="shared" si="42"/>
        <v>41607</v>
      </c>
      <c r="S142" s="62">
        <f t="shared" si="43"/>
        <v>0</v>
      </c>
    </row>
    <row r="143" spans="1:19" customFormat="1" ht="39.75" hidden="1" customHeight="1" x14ac:dyDescent="0.25">
      <c r="A143" s="56" t="s">
        <v>31</v>
      </c>
      <c r="B143" s="54" t="s">
        <v>1</v>
      </c>
      <c r="C143" s="55">
        <v>24773</v>
      </c>
      <c r="D143" s="55">
        <v>1843</v>
      </c>
      <c r="E143" s="55">
        <v>0</v>
      </c>
      <c r="F143" s="55">
        <v>0</v>
      </c>
      <c r="G143" s="55">
        <f t="shared" si="39"/>
        <v>1843</v>
      </c>
      <c r="H143" s="63">
        <v>21931</v>
      </c>
      <c r="I143" s="63">
        <v>0</v>
      </c>
      <c r="J143" s="63">
        <v>0</v>
      </c>
      <c r="K143" s="63">
        <f t="shared" si="40"/>
        <v>21931</v>
      </c>
      <c r="L143" s="63">
        <v>999</v>
      </c>
      <c r="M143" s="63">
        <v>0</v>
      </c>
      <c r="N143" s="63">
        <v>0</v>
      </c>
      <c r="O143" s="63">
        <f t="shared" si="41"/>
        <v>999</v>
      </c>
      <c r="R143" s="62">
        <f t="shared" si="42"/>
        <v>24773</v>
      </c>
      <c r="S143" s="62">
        <f t="shared" si="43"/>
        <v>0</v>
      </c>
    </row>
    <row r="144" spans="1:19" customFormat="1" ht="33" hidden="1" customHeight="1" x14ac:dyDescent="0.25">
      <c r="A144" s="56" t="s">
        <v>32</v>
      </c>
      <c r="B144" s="54" t="s">
        <v>73</v>
      </c>
      <c r="C144" s="55">
        <v>21248</v>
      </c>
      <c r="D144" s="55">
        <v>4180</v>
      </c>
      <c r="E144" s="55">
        <v>0</v>
      </c>
      <c r="F144" s="55">
        <v>0</v>
      </c>
      <c r="G144" s="55">
        <f t="shared" si="39"/>
        <v>4180</v>
      </c>
      <c r="H144" s="63">
        <v>13680</v>
      </c>
      <c r="I144" s="63">
        <v>0</v>
      </c>
      <c r="J144" s="63">
        <v>0</v>
      </c>
      <c r="K144" s="63">
        <f t="shared" si="40"/>
        <v>13680</v>
      </c>
      <c r="L144" s="63">
        <v>3388</v>
      </c>
      <c r="M144" s="63">
        <v>0</v>
      </c>
      <c r="N144" s="63">
        <v>0</v>
      </c>
      <c r="O144" s="63">
        <f t="shared" si="41"/>
        <v>3388</v>
      </c>
      <c r="R144" s="62">
        <f t="shared" si="42"/>
        <v>21248</v>
      </c>
      <c r="S144" s="62">
        <f t="shared" si="43"/>
        <v>0</v>
      </c>
    </row>
    <row r="145" spans="1:34" ht="33" hidden="1" customHeight="1" x14ac:dyDescent="0.25">
      <c r="A145" s="56" t="s">
        <v>90</v>
      </c>
      <c r="B145" s="70" t="s">
        <v>91</v>
      </c>
      <c r="C145" s="55">
        <f>E145+I145+M145</f>
        <v>61662</v>
      </c>
      <c r="D145" s="55">
        <v>0</v>
      </c>
      <c r="E145" s="55">
        <v>10436</v>
      </c>
      <c r="F145" s="55">
        <v>0</v>
      </c>
      <c r="G145" s="55">
        <f t="shared" si="39"/>
        <v>10436</v>
      </c>
      <c r="H145" s="63">
        <v>0</v>
      </c>
      <c r="I145" s="63">
        <v>34306</v>
      </c>
      <c r="J145" s="63">
        <v>0</v>
      </c>
      <c r="K145" s="63">
        <f t="shared" si="40"/>
        <v>34306</v>
      </c>
      <c r="L145" s="63">
        <v>0</v>
      </c>
      <c r="M145" s="63">
        <v>16920</v>
      </c>
      <c r="N145" s="63">
        <v>0</v>
      </c>
      <c r="O145" s="63">
        <f t="shared" si="41"/>
        <v>16920</v>
      </c>
      <c r="R145" s="62">
        <f t="shared" si="42"/>
        <v>61662</v>
      </c>
      <c r="S145" s="62">
        <f>R145-C145</f>
        <v>0</v>
      </c>
    </row>
    <row r="146" spans="1:34" ht="25.5" hidden="1" customHeight="1" x14ac:dyDescent="0.25">
      <c r="A146" s="57"/>
      <c r="B146" s="57" t="s">
        <v>0</v>
      </c>
      <c r="C146" s="58">
        <f>SUM(C128:C145)</f>
        <v>8609468</v>
      </c>
      <c r="D146" s="58">
        <f t="shared" ref="D146:O146" si="44">SUM(D128:D145)</f>
        <v>323965</v>
      </c>
      <c r="E146" s="58">
        <f t="shared" si="44"/>
        <v>574427</v>
      </c>
      <c r="F146" s="58">
        <f t="shared" si="44"/>
        <v>9025</v>
      </c>
      <c r="G146" s="58">
        <f t="shared" si="44"/>
        <v>907417</v>
      </c>
      <c r="H146" s="58">
        <f t="shared" si="44"/>
        <v>2252107</v>
      </c>
      <c r="I146" s="58">
        <f t="shared" si="44"/>
        <v>4151535</v>
      </c>
      <c r="J146" s="58">
        <f t="shared" si="44"/>
        <v>75687</v>
      </c>
      <c r="K146" s="58">
        <f t="shared" si="44"/>
        <v>6479329</v>
      </c>
      <c r="L146" s="58">
        <f t="shared" si="44"/>
        <v>348601</v>
      </c>
      <c r="M146" s="58">
        <f t="shared" si="44"/>
        <v>863189</v>
      </c>
      <c r="N146" s="58">
        <f t="shared" si="44"/>
        <v>10932</v>
      </c>
      <c r="O146" s="58">
        <f t="shared" si="44"/>
        <v>1222722</v>
      </c>
      <c r="R146" s="62">
        <f t="shared" si="42"/>
        <v>8609468</v>
      </c>
      <c r="S146" s="62">
        <f t="shared" si="43"/>
        <v>0</v>
      </c>
    </row>
    <row r="147" spans="1:34" hidden="1" x14ac:dyDescent="0.25"/>
    <row r="148" spans="1:34" s="4" customFormat="1" ht="28.5" hidden="1" customHeight="1" x14ac:dyDescent="0.25">
      <c r="A148" s="152" t="s">
        <v>17</v>
      </c>
      <c r="B148" s="152" t="s">
        <v>33</v>
      </c>
      <c r="C148" s="152" t="s">
        <v>79</v>
      </c>
      <c r="D148" s="152" t="s">
        <v>69</v>
      </c>
      <c r="E148" s="152"/>
      <c r="F148" s="152"/>
      <c r="G148" s="152"/>
      <c r="H148" s="152"/>
      <c r="I148" s="152"/>
      <c r="J148" s="152"/>
      <c r="K148" s="152"/>
      <c r="L148" s="152"/>
      <c r="M148" s="152"/>
      <c r="N148" s="152"/>
      <c r="O148" s="152"/>
      <c r="R148" s="61"/>
      <c r="S148" s="61"/>
      <c r="V148" s="61"/>
      <c r="W148" s="61"/>
      <c r="X148" s="61"/>
      <c r="Y148" s="61"/>
      <c r="Z148" s="61"/>
      <c r="AC148" s="95"/>
      <c r="AD148" s="95"/>
      <c r="AE148" s="95"/>
      <c r="AF148" s="95"/>
      <c r="AG148" s="93"/>
      <c r="AH148" s="95"/>
    </row>
    <row r="149" spans="1:34" s="4" customFormat="1" ht="41.25" hidden="1" customHeight="1" x14ac:dyDescent="0.25">
      <c r="A149" s="152"/>
      <c r="B149" s="152"/>
      <c r="C149" s="152"/>
      <c r="D149" s="154" t="s">
        <v>36</v>
      </c>
      <c r="E149" s="154"/>
      <c r="F149" s="154"/>
      <c r="G149" s="154"/>
      <c r="H149" s="155" t="s">
        <v>37</v>
      </c>
      <c r="I149" s="156"/>
      <c r="J149" s="156"/>
      <c r="K149" s="157"/>
      <c r="L149" s="155" t="s">
        <v>38</v>
      </c>
      <c r="M149" s="156"/>
      <c r="N149" s="156"/>
      <c r="O149" s="157"/>
      <c r="R149" s="61"/>
      <c r="S149" s="61"/>
      <c r="V149" s="61"/>
      <c r="W149" s="61"/>
      <c r="X149" s="61"/>
      <c r="Y149" s="61"/>
      <c r="Z149" s="61"/>
      <c r="AC149" s="95"/>
      <c r="AD149" s="95"/>
      <c r="AE149" s="95"/>
      <c r="AF149" s="95"/>
      <c r="AG149" s="93"/>
      <c r="AH149" s="95"/>
    </row>
    <row r="150" spans="1:34" s="4" customFormat="1" ht="59.25" hidden="1" customHeight="1" x14ac:dyDescent="0.25">
      <c r="A150" s="152"/>
      <c r="B150" s="152"/>
      <c r="C150" s="152"/>
      <c r="D150" s="59" t="s">
        <v>66</v>
      </c>
      <c r="E150" s="59" t="s">
        <v>67</v>
      </c>
      <c r="F150" s="59" t="s">
        <v>68</v>
      </c>
      <c r="G150" s="59" t="s">
        <v>70</v>
      </c>
      <c r="H150" s="65" t="s">
        <v>66</v>
      </c>
      <c r="I150" s="65" t="s">
        <v>67</v>
      </c>
      <c r="J150" s="65" t="s">
        <v>68</v>
      </c>
      <c r="K150" s="65" t="s">
        <v>71</v>
      </c>
      <c r="L150" s="65" t="s">
        <v>66</v>
      </c>
      <c r="M150" s="65" t="s">
        <v>67</v>
      </c>
      <c r="N150" s="65" t="s">
        <v>68</v>
      </c>
      <c r="O150" s="65" t="s">
        <v>72</v>
      </c>
      <c r="R150" s="61"/>
      <c r="S150" s="61"/>
      <c r="V150" s="61"/>
      <c r="W150" s="61"/>
      <c r="X150" s="61"/>
      <c r="Y150" s="61"/>
      <c r="Z150" s="61"/>
      <c r="AC150" s="95"/>
      <c r="AD150" s="95"/>
      <c r="AE150" s="95"/>
      <c r="AF150" s="95"/>
      <c r="AG150" s="93"/>
      <c r="AH150" s="95"/>
    </row>
    <row r="151" spans="1:34" s="3" customFormat="1" ht="14.25" hidden="1" customHeight="1" x14ac:dyDescent="0.25">
      <c r="A151" s="53">
        <v>1</v>
      </c>
      <c r="B151" s="53">
        <v>2</v>
      </c>
      <c r="C151" s="53">
        <v>3</v>
      </c>
      <c r="D151" s="53">
        <v>4</v>
      </c>
      <c r="E151" s="53">
        <v>5</v>
      </c>
      <c r="F151" s="53">
        <v>6</v>
      </c>
      <c r="G151" s="53">
        <v>7</v>
      </c>
      <c r="H151" s="66">
        <v>8</v>
      </c>
      <c r="I151" s="66">
        <v>9</v>
      </c>
      <c r="J151" s="66">
        <v>10</v>
      </c>
      <c r="K151" s="66">
        <v>11</v>
      </c>
      <c r="L151" s="66">
        <v>12</v>
      </c>
      <c r="M151" s="66">
        <v>13</v>
      </c>
      <c r="N151" s="66">
        <v>14</v>
      </c>
      <c r="O151" s="66">
        <v>15</v>
      </c>
      <c r="R151" s="61"/>
      <c r="S151" s="61"/>
      <c r="V151" s="61"/>
      <c r="W151" s="61"/>
      <c r="X151" s="61"/>
      <c r="Y151" s="61"/>
      <c r="Z151" s="61"/>
      <c r="AC151" s="95"/>
      <c r="AD151" s="95"/>
      <c r="AE151" s="95"/>
      <c r="AF151" s="95"/>
      <c r="AG151" s="94"/>
      <c r="AH151" s="95"/>
    </row>
    <row r="152" spans="1:34" s="3" customFormat="1" ht="25.5" hidden="1" customHeight="1" x14ac:dyDescent="0.25">
      <c r="A152" s="53" t="s">
        <v>16</v>
      </c>
      <c r="B152" s="54" t="s">
        <v>15</v>
      </c>
      <c r="C152" s="55">
        <v>2208960</v>
      </c>
      <c r="D152" s="55">
        <v>70966</v>
      </c>
      <c r="E152" s="55">
        <v>273698</v>
      </c>
      <c r="F152" s="55">
        <v>0</v>
      </c>
      <c r="G152" s="55">
        <f>D152+E152+F152</f>
        <v>344664</v>
      </c>
      <c r="H152" s="63">
        <v>299238</v>
      </c>
      <c r="I152" s="63">
        <v>1154081</v>
      </c>
      <c r="J152" s="63">
        <v>0</v>
      </c>
      <c r="K152" s="63">
        <f>H152+I152+J152</f>
        <v>1453319</v>
      </c>
      <c r="L152" s="63">
        <v>84620</v>
      </c>
      <c r="M152" s="63">
        <v>326357</v>
      </c>
      <c r="N152" s="63">
        <v>0</v>
      </c>
      <c r="O152" s="63">
        <f>L152+M152+N152</f>
        <v>410977</v>
      </c>
      <c r="R152" s="62">
        <f>G152+K152+O152</f>
        <v>2208960</v>
      </c>
      <c r="S152" s="62">
        <f>R152-C152</f>
        <v>0</v>
      </c>
      <c r="V152" s="61"/>
      <c r="W152" s="61"/>
      <c r="X152" s="61"/>
      <c r="Y152" s="61"/>
      <c r="Z152" s="61"/>
      <c r="AC152" s="95"/>
      <c r="AD152" s="95"/>
      <c r="AE152" s="95"/>
      <c r="AF152" s="95"/>
      <c r="AG152" s="94"/>
      <c r="AH152" s="95"/>
    </row>
    <row r="153" spans="1:34" ht="40.5" hidden="1" customHeight="1" x14ac:dyDescent="0.25">
      <c r="A153" s="56" t="s">
        <v>24</v>
      </c>
      <c r="B153" s="54" t="s">
        <v>14</v>
      </c>
      <c r="C153" s="55">
        <v>271373</v>
      </c>
      <c r="D153" s="55">
        <v>28522</v>
      </c>
      <c r="E153" s="55">
        <v>26857</v>
      </c>
      <c r="F153" s="55">
        <v>855</v>
      </c>
      <c r="G153" s="55">
        <f t="shared" ref="G153:G169" si="45">D153+E153+F153</f>
        <v>56234</v>
      </c>
      <c r="H153" s="63">
        <v>83820</v>
      </c>
      <c r="I153" s="63">
        <v>78929</v>
      </c>
      <c r="J153" s="63">
        <v>2512</v>
      </c>
      <c r="K153" s="63">
        <f t="shared" ref="K153:K169" si="46">H153+I153+J153</f>
        <v>165261</v>
      </c>
      <c r="L153" s="63">
        <v>25298</v>
      </c>
      <c r="M153" s="63">
        <v>23822</v>
      </c>
      <c r="N153" s="63">
        <v>758</v>
      </c>
      <c r="O153" s="63">
        <f t="shared" ref="O153:O169" si="47">L153+M153+N153</f>
        <v>49878</v>
      </c>
      <c r="R153" s="62">
        <f t="shared" ref="R153:R170" si="48">G153+K153+O153</f>
        <v>271373</v>
      </c>
      <c r="S153" s="62">
        <f t="shared" ref="S153:S170" si="49">R153-C153</f>
        <v>0</v>
      </c>
    </row>
    <row r="154" spans="1:34" ht="34.5" hidden="1" customHeight="1" x14ac:dyDescent="0.25">
      <c r="A154" s="56" t="s">
        <v>23</v>
      </c>
      <c r="B154" s="54" t="s">
        <v>13</v>
      </c>
      <c r="C154" s="55">
        <v>539868</v>
      </c>
      <c r="D154" s="55">
        <v>0</v>
      </c>
      <c r="E154" s="55">
        <v>30600</v>
      </c>
      <c r="F154" s="55">
        <v>0</v>
      </c>
      <c r="G154" s="55">
        <f t="shared" si="45"/>
        <v>30600</v>
      </c>
      <c r="H154" s="63">
        <v>0</v>
      </c>
      <c r="I154" s="63">
        <v>453570</v>
      </c>
      <c r="J154" s="63">
        <v>0</v>
      </c>
      <c r="K154" s="63">
        <f t="shared" si="46"/>
        <v>453570</v>
      </c>
      <c r="L154" s="63">
        <v>0</v>
      </c>
      <c r="M154" s="63">
        <v>55698</v>
      </c>
      <c r="N154" s="63">
        <v>0</v>
      </c>
      <c r="O154" s="63">
        <f t="shared" si="47"/>
        <v>55698</v>
      </c>
      <c r="R154" s="62">
        <f t="shared" si="48"/>
        <v>539868</v>
      </c>
      <c r="S154" s="62">
        <f t="shared" si="49"/>
        <v>0</v>
      </c>
    </row>
    <row r="155" spans="1:34" ht="40.5" hidden="1" customHeight="1" x14ac:dyDescent="0.25">
      <c r="A155" s="56" t="s">
        <v>22</v>
      </c>
      <c r="B155" s="54" t="s">
        <v>12</v>
      </c>
      <c r="C155" s="55">
        <v>313207</v>
      </c>
      <c r="D155" s="55">
        <v>36028</v>
      </c>
      <c r="E155" s="55">
        <v>0</v>
      </c>
      <c r="F155" s="55">
        <v>0</v>
      </c>
      <c r="G155" s="55">
        <f t="shared" si="45"/>
        <v>36028</v>
      </c>
      <c r="H155" s="63">
        <v>234317</v>
      </c>
      <c r="I155" s="63">
        <v>0</v>
      </c>
      <c r="J155" s="63">
        <v>0</v>
      </c>
      <c r="K155" s="63">
        <f t="shared" si="46"/>
        <v>234317</v>
      </c>
      <c r="L155" s="63">
        <v>42862</v>
      </c>
      <c r="M155" s="63">
        <v>0</v>
      </c>
      <c r="N155" s="63">
        <v>0</v>
      </c>
      <c r="O155" s="63">
        <f t="shared" si="47"/>
        <v>42862</v>
      </c>
      <c r="R155" s="62">
        <f t="shared" si="48"/>
        <v>313207</v>
      </c>
      <c r="S155" s="62">
        <f t="shared" si="49"/>
        <v>0</v>
      </c>
    </row>
    <row r="156" spans="1:34" ht="39.75" hidden="1" customHeight="1" x14ac:dyDescent="0.25">
      <c r="A156" s="56" t="s">
        <v>21</v>
      </c>
      <c r="B156" s="54" t="s">
        <v>11</v>
      </c>
      <c r="C156" s="55">
        <v>102545</v>
      </c>
      <c r="D156" s="55">
        <v>4041</v>
      </c>
      <c r="E156" s="55">
        <v>6330</v>
      </c>
      <c r="F156" s="55">
        <v>2740</v>
      </c>
      <c r="G156" s="55">
        <f t="shared" si="45"/>
        <v>13111</v>
      </c>
      <c r="H156" s="63">
        <v>21435</v>
      </c>
      <c r="I156" s="63">
        <v>33577</v>
      </c>
      <c r="J156" s="63">
        <v>14535</v>
      </c>
      <c r="K156" s="63">
        <f t="shared" si="46"/>
        <v>69547</v>
      </c>
      <c r="L156" s="63">
        <v>6129</v>
      </c>
      <c r="M156" s="63">
        <v>9602</v>
      </c>
      <c r="N156" s="63">
        <v>4156</v>
      </c>
      <c r="O156" s="63">
        <f t="shared" si="47"/>
        <v>19887</v>
      </c>
      <c r="R156" s="62">
        <f t="shared" si="48"/>
        <v>102545</v>
      </c>
      <c r="S156" s="62">
        <f t="shared" si="49"/>
        <v>0</v>
      </c>
    </row>
    <row r="157" spans="1:34" ht="28.5" hidden="1" customHeight="1" x14ac:dyDescent="0.25">
      <c r="A157" s="56" t="s">
        <v>20</v>
      </c>
      <c r="B157" s="54" t="s">
        <v>34</v>
      </c>
      <c r="C157" s="55">
        <v>211978</v>
      </c>
      <c r="D157" s="55">
        <v>39678</v>
      </c>
      <c r="E157" s="55">
        <v>0</v>
      </c>
      <c r="F157" s="55">
        <v>0</v>
      </c>
      <c r="G157" s="55">
        <f t="shared" si="45"/>
        <v>39678</v>
      </c>
      <c r="H157" s="63">
        <v>129512</v>
      </c>
      <c r="I157" s="63">
        <v>0</v>
      </c>
      <c r="J157" s="63">
        <v>0</v>
      </c>
      <c r="K157" s="63">
        <f t="shared" si="46"/>
        <v>129512</v>
      </c>
      <c r="L157" s="63">
        <v>42788</v>
      </c>
      <c r="M157" s="63">
        <v>0</v>
      </c>
      <c r="N157" s="63">
        <v>0</v>
      </c>
      <c r="O157" s="63">
        <f t="shared" si="47"/>
        <v>42788</v>
      </c>
      <c r="R157" s="62">
        <f t="shared" si="48"/>
        <v>211978</v>
      </c>
      <c r="S157" s="62">
        <f t="shared" si="49"/>
        <v>0</v>
      </c>
    </row>
    <row r="158" spans="1:34" ht="34.5" hidden="1" customHeight="1" x14ac:dyDescent="0.25">
      <c r="A158" s="56" t="s">
        <v>19</v>
      </c>
      <c r="B158" s="54" t="s">
        <v>10</v>
      </c>
      <c r="C158" s="55">
        <v>795293</v>
      </c>
      <c r="D158" s="55">
        <v>17266</v>
      </c>
      <c r="E158" s="55">
        <v>22587</v>
      </c>
      <c r="F158" s="55">
        <v>1081</v>
      </c>
      <c r="G158" s="55">
        <f t="shared" si="45"/>
        <v>40934</v>
      </c>
      <c r="H158" s="63">
        <v>268538</v>
      </c>
      <c r="I158" s="63">
        <v>351302</v>
      </c>
      <c r="J158" s="63">
        <v>16808</v>
      </c>
      <c r="K158" s="63">
        <f t="shared" si="46"/>
        <v>636648</v>
      </c>
      <c r="L158" s="63">
        <v>49651</v>
      </c>
      <c r="M158" s="63">
        <v>64953</v>
      </c>
      <c r="N158" s="63">
        <v>3107</v>
      </c>
      <c r="O158" s="63">
        <f t="shared" si="47"/>
        <v>117711</v>
      </c>
      <c r="R158" s="62">
        <f t="shared" si="48"/>
        <v>795293</v>
      </c>
      <c r="S158" s="62">
        <f t="shared" si="49"/>
        <v>0</v>
      </c>
    </row>
    <row r="159" spans="1:34" ht="25.5" hidden="1" customHeight="1" x14ac:dyDescent="0.25">
      <c r="A159" s="56" t="s">
        <v>18</v>
      </c>
      <c r="B159" s="54" t="s">
        <v>9</v>
      </c>
      <c r="C159" s="55">
        <v>324158</v>
      </c>
      <c r="D159" s="55">
        <v>18450</v>
      </c>
      <c r="E159" s="55">
        <v>59627</v>
      </c>
      <c r="F159" s="55">
        <v>0</v>
      </c>
      <c r="G159" s="55">
        <f t="shared" si="45"/>
        <v>78077</v>
      </c>
      <c r="H159" s="63">
        <v>57648</v>
      </c>
      <c r="I159" s="63">
        <v>186313</v>
      </c>
      <c r="J159" s="63">
        <v>0</v>
      </c>
      <c r="K159" s="63">
        <f t="shared" si="46"/>
        <v>243961</v>
      </c>
      <c r="L159" s="63">
        <v>501</v>
      </c>
      <c r="M159" s="63">
        <v>1619</v>
      </c>
      <c r="N159" s="63">
        <v>0</v>
      </c>
      <c r="O159" s="63">
        <f t="shared" si="47"/>
        <v>2120</v>
      </c>
      <c r="R159" s="62">
        <f t="shared" si="48"/>
        <v>324158</v>
      </c>
      <c r="S159" s="62">
        <f t="shared" si="49"/>
        <v>0</v>
      </c>
    </row>
    <row r="160" spans="1:34" ht="25.5" hidden="1" customHeight="1" x14ac:dyDescent="0.25">
      <c r="A160" s="56" t="s">
        <v>25</v>
      </c>
      <c r="B160" s="54" t="s">
        <v>8</v>
      </c>
      <c r="C160" s="55">
        <v>945273</v>
      </c>
      <c r="D160" s="55">
        <v>5321</v>
      </c>
      <c r="E160" s="55">
        <v>32018</v>
      </c>
      <c r="F160" s="55">
        <v>0</v>
      </c>
      <c r="G160" s="55">
        <f t="shared" si="45"/>
        <v>37339</v>
      </c>
      <c r="H160" s="63">
        <v>86354</v>
      </c>
      <c r="I160" s="63">
        <v>519641</v>
      </c>
      <c r="J160" s="63">
        <v>0</v>
      </c>
      <c r="K160" s="63">
        <f t="shared" si="46"/>
        <v>605995</v>
      </c>
      <c r="L160" s="63">
        <v>43026</v>
      </c>
      <c r="M160" s="63">
        <v>258913</v>
      </c>
      <c r="N160" s="63">
        <v>0</v>
      </c>
      <c r="O160" s="63">
        <f t="shared" si="47"/>
        <v>301939</v>
      </c>
      <c r="R160" s="62">
        <f t="shared" si="48"/>
        <v>945273</v>
      </c>
      <c r="S160" s="62">
        <f t="shared" si="49"/>
        <v>0</v>
      </c>
    </row>
    <row r="161" spans="1:34" ht="25.5" hidden="1" customHeight="1" x14ac:dyDescent="0.25">
      <c r="A161" s="56" t="s">
        <v>26</v>
      </c>
      <c r="B161" s="54" t="s">
        <v>7</v>
      </c>
      <c r="C161" s="55">
        <v>547001</v>
      </c>
      <c r="D161" s="55">
        <v>1243</v>
      </c>
      <c r="E161" s="55">
        <v>8751</v>
      </c>
      <c r="F161" s="55">
        <v>0</v>
      </c>
      <c r="G161" s="55">
        <f t="shared" si="45"/>
        <v>9994</v>
      </c>
      <c r="H161" s="63">
        <v>60737</v>
      </c>
      <c r="I161" s="63">
        <v>427505</v>
      </c>
      <c r="J161" s="63">
        <v>0</v>
      </c>
      <c r="K161" s="63">
        <f t="shared" si="46"/>
        <v>488242</v>
      </c>
      <c r="L161" s="63">
        <v>6066</v>
      </c>
      <c r="M161" s="63">
        <v>42699</v>
      </c>
      <c r="N161" s="63">
        <v>0</v>
      </c>
      <c r="O161" s="63">
        <f t="shared" si="47"/>
        <v>48765</v>
      </c>
      <c r="R161" s="62">
        <f t="shared" si="48"/>
        <v>547001</v>
      </c>
      <c r="S161" s="62">
        <f t="shared" si="49"/>
        <v>0</v>
      </c>
    </row>
    <row r="162" spans="1:34" ht="25.5" hidden="1" customHeight="1" x14ac:dyDescent="0.25">
      <c r="A162" s="56" t="s">
        <v>27</v>
      </c>
      <c r="B162" s="54" t="s">
        <v>6</v>
      </c>
      <c r="C162" s="55">
        <v>275216</v>
      </c>
      <c r="D162" s="55">
        <v>985</v>
      </c>
      <c r="E162" s="55">
        <v>911</v>
      </c>
      <c r="F162" s="55">
        <v>22</v>
      </c>
      <c r="G162" s="55">
        <f t="shared" si="45"/>
        <v>1918</v>
      </c>
      <c r="H162" s="63">
        <v>140181</v>
      </c>
      <c r="I162" s="63">
        <v>129593</v>
      </c>
      <c r="J162" s="63">
        <v>3111</v>
      </c>
      <c r="K162" s="63">
        <f t="shared" si="46"/>
        <v>272885</v>
      </c>
      <c r="L162" s="63">
        <v>212</v>
      </c>
      <c r="M162" s="63">
        <v>196</v>
      </c>
      <c r="N162" s="63">
        <v>5</v>
      </c>
      <c r="O162" s="63">
        <f t="shared" si="47"/>
        <v>413</v>
      </c>
      <c r="R162" s="62">
        <f t="shared" si="48"/>
        <v>275216</v>
      </c>
      <c r="S162" s="62">
        <f t="shared" si="49"/>
        <v>0</v>
      </c>
    </row>
    <row r="163" spans="1:34" ht="25.5" hidden="1" customHeight="1" x14ac:dyDescent="0.25">
      <c r="A163" s="56" t="s">
        <v>28</v>
      </c>
      <c r="B163" s="54" t="s">
        <v>5</v>
      </c>
      <c r="C163" s="55">
        <v>576190</v>
      </c>
      <c r="D163" s="55">
        <v>22049</v>
      </c>
      <c r="E163" s="55">
        <v>54837</v>
      </c>
      <c r="F163" s="55">
        <v>2830</v>
      </c>
      <c r="G163" s="55">
        <f t="shared" si="45"/>
        <v>79716</v>
      </c>
      <c r="H163" s="63">
        <v>135988</v>
      </c>
      <c r="I163" s="63">
        <v>338199</v>
      </c>
      <c r="J163" s="63">
        <v>17453</v>
      </c>
      <c r="K163" s="63">
        <f t="shared" si="46"/>
        <v>491640</v>
      </c>
      <c r="L163" s="63">
        <v>1337</v>
      </c>
      <c r="M163" s="63">
        <v>3325</v>
      </c>
      <c r="N163" s="63">
        <v>172</v>
      </c>
      <c r="O163" s="63">
        <f t="shared" si="47"/>
        <v>4834</v>
      </c>
      <c r="R163" s="62">
        <f t="shared" si="48"/>
        <v>576190</v>
      </c>
      <c r="S163" s="62">
        <f t="shared" si="49"/>
        <v>0</v>
      </c>
    </row>
    <row r="164" spans="1:34" ht="25.5" hidden="1" customHeight="1" x14ac:dyDescent="0.25">
      <c r="A164" s="56" t="s">
        <v>29</v>
      </c>
      <c r="B164" s="54" t="s">
        <v>4</v>
      </c>
      <c r="C164" s="55">
        <v>292894</v>
      </c>
      <c r="D164" s="55">
        <v>5680</v>
      </c>
      <c r="E164" s="55">
        <v>9571</v>
      </c>
      <c r="F164" s="55">
        <v>395</v>
      </c>
      <c r="G164" s="55">
        <f t="shared" si="45"/>
        <v>15646</v>
      </c>
      <c r="H164" s="63">
        <v>97316</v>
      </c>
      <c r="I164" s="63">
        <v>163990</v>
      </c>
      <c r="J164" s="63">
        <v>6783</v>
      </c>
      <c r="K164" s="63">
        <f t="shared" si="46"/>
        <v>268089</v>
      </c>
      <c r="L164" s="63">
        <v>3325</v>
      </c>
      <c r="M164" s="63">
        <v>5602</v>
      </c>
      <c r="N164" s="63">
        <v>232</v>
      </c>
      <c r="O164" s="63">
        <f t="shared" si="47"/>
        <v>9159</v>
      </c>
      <c r="R164" s="62">
        <f t="shared" si="48"/>
        <v>292894</v>
      </c>
      <c r="S164" s="62">
        <f t="shared" si="49"/>
        <v>0</v>
      </c>
    </row>
    <row r="165" spans="1:34" ht="25.5" hidden="1" customHeight="1" x14ac:dyDescent="0.25">
      <c r="A165" s="56">
        <v>14</v>
      </c>
      <c r="B165" s="54" t="s">
        <v>3</v>
      </c>
      <c r="C165" s="55">
        <v>677961</v>
      </c>
      <c r="D165" s="55">
        <v>32495</v>
      </c>
      <c r="E165" s="55">
        <v>15998</v>
      </c>
      <c r="F165" s="55">
        <v>1500</v>
      </c>
      <c r="G165" s="55">
        <f t="shared" si="45"/>
        <v>49993</v>
      </c>
      <c r="H165" s="63">
        <v>363072</v>
      </c>
      <c r="I165" s="63">
        <v>178743</v>
      </c>
      <c r="J165" s="63">
        <v>16757</v>
      </c>
      <c r="K165" s="63">
        <f t="shared" si="46"/>
        <v>558572</v>
      </c>
      <c r="L165" s="63">
        <v>45107</v>
      </c>
      <c r="M165" s="63">
        <v>22207</v>
      </c>
      <c r="N165" s="63">
        <v>2082</v>
      </c>
      <c r="O165" s="63">
        <f t="shared" si="47"/>
        <v>69396</v>
      </c>
      <c r="R165" s="62">
        <f t="shared" si="48"/>
        <v>677961</v>
      </c>
      <c r="S165" s="62">
        <f t="shared" si="49"/>
        <v>0</v>
      </c>
    </row>
    <row r="166" spans="1:34" ht="54" hidden="1" customHeight="1" x14ac:dyDescent="0.25">
      <c r="A166" s="56" t="s">
        <v>30</v>
      </c>
      <c r="B166" s="54" t="s">
        <v>2</v>
      </c>
      <c r="C166" s="55">
        <v>39648</v>
      </c>
      <c r="D166" s="55">
        <v>1123</v>
      </c>
      <c r="E166" s="55">
        <v>0</v>
      </c>
      <c r="F166" s="55">
        <v>0</v>
      </c>
      <c r="G166" s="55">
        <f t="shared" si="45"/>
        <v>1123</v>
      </c>
      <c r="H166" s="63">
        <v>33192</v>
      </c>
      <c r="I166" s="63">
        <v>0</v>
      </c>
      <c r="J166" s="63">
        <v>0</v>
      </c>
      <c r="K166" s="63">
        <f t="shared" si="46"/>
        <v>33192</v>
      </c>
      <c r="L166" s="63">
        <v>5333</v>
      </c>
      <c r="M166" s="63">
        <v>0</v>
      </c>
      <c r="N166" s="63">
        <v>0</v>
      </c>
      <c r="O166" s="63">
        <f t="shared" si="47"/>
        <v>5333</v>
      </c>
      <c r="R166" s="62">
        <f t="shared" si="48"/>
        <v>39648</v>
      </c>
      <c r="S166" s="62">
        <f t="shared" si="49"/>
        <v>0</v>
      </c>
    </row>
    <row r="167" spans="1:34" ht="39.75" hidden="1" customHeight="1" x14ac:dyDescent="0.25">
      <c r="A167" s="56" t="s">
        <v>31</v>
      </c>
      <c r="B167" s="54" t="s">
        <v>1</v>
      </c>
      <c r="C167" s="55">
        <v>37872</v>
      </c>
      <c r="D167" s="55">
        <v>2817</v>
      </c>
      <c r="E167" s="55">
        <v>0</v>
      </c>
      <c r="F167" s="55">
        <v>0</v>
      </c>
      <c r="G167" s="55">
        <f t="shared" si="45"/>
        <v>2817</v>
      </c>
      <c r="H167" s="63">
        <v>33527</v>
      </c>
      <c r="I167" s="63">
        <v>0</v>
      </c>
      <c r="J167" s="63">
        <v>0</v>
      </c>
      <c r="K167" s="63">
        <f t="shared" si="46"/>
        <v>33527</v>
      </c>
      <c r="L167" s="63">
        <v>1528</v>
      </c>
      <c r="M167" s="63">
        <v>0</v>
      </c>
      <c r="N167" s="63">
        <v>0</v>
      </c>
      <c r="O167" s="63">
        <f t="shared" si="47"/>
        <v>1528</v>
      </c>
      <c r="R167" s="62">
        <f t="shared" si="48"/>
        <v>37872</v>
      </c>
      <c r="S167" s="62">
        <f t="shared" si="49"/>
        <v>0</v>
      </c>
    </row>
    <row r="168" spans="1:34" ht="33" hidden="1" customHeight="1" x14ac:dyDescent="0.25">
      <c r="A168" s="56" t="s">
        <v>32</v>
      </c>
      <c r="B168" s="54" t="s">
        <v>73</v>
      </c>
      <c r="C168" s="55">
        <v>21248</v>
      </c>
      <c r="D168" s="55">
        <v>4180</v>
      </c>
      <c r="E168" s="55">
        <v>0</v>
      </c>
      <c r="F168" s="55">
        <v>0</v>
      </c>
      <c r="G168" s="55">
        <f t="shared" si="45"/>
        <v>4180</v>
      </c>
      <c r="H168" s="63">
        <v>13680</v>
      </c>
      <c r="I168" s="63">
        <v>0</v>
      </c>
      <c r="J168" s="63">
        <v>0</v>
      </c>
      <c r="K168" s="63">
        <f t="shared" si="46"/>
        <v>13680</v>
      </c>
      <c r="L168" s="63">
        <v>3388</v>
      </c>
      <c r="M168" s="63">
        <v>0</v>
      </c>
      <c r="N168" s="63">
        <v>0</v>
      </c>
      <c r="O168" s="63">
        <f t="shared" si="47"/>
        <v>3388</v>
      </c>
      <c r="R168" s="62">
        <f t="shared" si="48"/>
        <v>21248</v>
      </c>
      <c r="S168" s="62">
        <f t="shared" si="49"/>
        <v>0</v>
      </c>
    </row>
    <row r="169" spans="1:34" ht="33" hidden="1" customHeight="1" x14ac:dyDescent="0.25">
      <c r="A169" s="56" t="s">
        <v>90</v>
      </c>
      <c r="B169" s="70" t="s">
        <v>91</v>
      </c>
      <c r="C169" s="55">
        <f>E169+I169+M169</f>
        <v>61662</v>
      </c>
      <c r="D169" s="55">
        <v>0</v>
      </c>
      <c r="E169" s="55">
        <v>10436</v>
      </c>
      <c r="F169" s="55">
        <v>0</v>
      </c>
      <c r="G169" s="55">
        <f t="shared" si="45"/>
        <v>10436</v>
      </c>
      <c r="H169" s="63">
        <v>0</v>
      </c>
      <c r="I169" s="63">
        <v>34306</v>
      </c>
      <c r="J169" s="63">
        <v>0</v>
      </c>
      <c r="K169" s="63">
        <f t="shared" si="46"/>
        <v>34306</v>
      </c>
      <c r="L169" s="63">
        <v>0</v>
      </c>
      <c r="M169" s="63">
        <v>16920</v>
      </c>
      <c r="N169" s="63">
        <v>0</v>
      </c>
      <c r="O169" s="63">
        <f t="shared" si="47"/>
        <v>16920</v>
      </c>
      <c r="R169" s="62">
        <f t="shared" si="48"/>
        <v>61662</v>
      </c>
      <c r="S169" s="62">
        <f>R169-C169</f>
        <v>0</v>
      </c>
    </row>
    <row r="170" spans="1:34" ht="25.5" hidden="1" customHeight="1" x14ac:dyDescent="0.25">
      <c r="A170" s="57"/>
      <c r="B170" s="57" t="s">
        <v>0</v>
      </c>
      <c r="C170" s="58">
        <f>SUM(C152:C169)</f>
        <v>8242347</v>
      </c>
      <c r="D170" s="58">
        <f t="shared" ref="D170:O170" si="50">SUM(D152:D169)</f>
        <v>290844</v>
      </c>
      <c r="E170" s="58">
        <f t="shared" si="50"/>
        <v>552221</v>
      </c>
      <c r="F170" s="58">
        <f t="shared" si="50"/>
        <v>9423</v>
      </c>
      <c r="G170" s="58">
        <f t="shared" si="50"/>
        <v>852488</v>
      </c>
      <c r="H170" s="58">
        <f t="shared" si="50"/>
        <v>2058555</v>
      </c>
      <c r="I170" s="58">
        <f t="shared" si="50"/>
        <v>4049749</v>
      </c>
      <c r="J170" s="58">
        <f t="shared" si="50"/>
        <v>77959</v>
      </c>
      <c r="K170" s="58">
        <f t="shared" si="50"/>
        <v>6186263</v>
      </c>
      <c r="L170" s="58">
        <f t="shared" si="50"/>
        <v>361171</v>
      </c>
      <c r="M170" s="58">
        <f t="shared" si="50"/>
        <v>831913</v>
      </c>
      <c r="N170" s="58">
        <f t="shared" si="50"/>
        <v>10512</v>
      </c>
      <c r="O170" s="58">
        <f t="shared" si="50"/>
        <v>1203596</v>
      </c>
      <c r="R170" s="62">
        <f t="shared" si="48"/>
        <v>8242347</v>
      </c>
      <c r="S170" s="62">
        <f t="shared" si="49"/>
        <v>0</v>
      </c>
    </row>
    <row r="171" spans="1:34" hidden="1" x14ac:dyDescent="0.25"/>
    <row r="172" spans="1:34" s="4" customFormat="1" ht="28.5" hidden="1" customHeight="1" x14ac:dyDescent="0.25">
      <c r="A172" s="152" t="s">
        <v>17</v>
      </c>
      <c r="B172" s="152" t="s">
        <v>33</v>
      </c>
      <c r="C172" s="159" t="s">
        <v>80</v>
      </c>
      <c r="D172" s="152" t="s">
        <v>69</v>
      </c>
      <c r="E172" s="152"/>
      <c r="F172" s="152"/>
      <c r="G172" s="152"/>
      <c r="H172" s="152"/>
      <c r="I172" s="152"/>
      <c r="J172" s="152"/>
      <c r="K172" s="152"/>
      <c r="L172" s="152"/>
      <c r="M172" s="152"/>
      <c r="N172" s="152"/>
      <c r="O172" s="152"/>
      <c r="R172" s="61"/>
      <c r="S172" s="61"/>
      <c r="V172" s="61"/>
      <c r="W172" s="61"/>
      <c r="X172" s="61"/>
      <c r="Y172" s="61"/>
      <c r="Z172" s="61"/>
      <c r="AC172" s="95"/>
      <c r="AD172" s="95"/>
      <c r="AE172" s="95"/>
      <c r="AF172" s="95"/>
      <c r="AG172" s="93"/>
      <c r="AH172" s="95"/>
    </row>
    <row r="173" spans="1:34" s="4" customFormat="1" ht="41.25" hidden="1" customHeight="1" x14ac:dyDescent="0.25">
      <c r="A173" s="152"/>
      <c r="B173" s="152"/>
      <c r="C173" s="159"/>
      <c r="D173" s="154" t="s">
        <v>36</v>
      </c>
      <c r="E173" s="154"/>
      <c r="F173" s="154"/>
      <c r="G173" s="154"/>
      <c r="H173" s="155" t="s">
        <v>37</v>
      </c>
      <c r="I173" s="156"/>
      <c r="J173" s="156"/>
      <c r="K173" s="157"/>
      <c r="L173" s="155" t="s">
        <v>38</v>
      </c>
      <c r="M173" s="156"/>
      <c r="N173" s="156"/>
      <c r="O173" s="157"/>
      <c r="R173" s="61"/>
      <c r="S173" s="61"/>
      <c r="V173" s="61"/>
      <c r="W173" s="61"/>
      <c r="X173" s="61"/>
      <c r="Y173" s="61"/>
      <c r="Z173" s="61"/>
      <c r="AC173" s="95"/>
      <c r="AD173" s="95"/>
      <c r="AE173" s="95"/>
      <c r="AF173" s="95"/>
      <c r="AG173" s="93"/>
      <c r="AH173" s="95"/>
    </row>
    <row r="174" spans="1:34" s="4" customFormat="1" ht="59.25" hidden="1" customHeight="1" x14ac:dyDescent="0.25">
      <c r="A174" s="152"/>
      <c r="B174" s="152"/>
      <c r="C174" s="159"/>
      <c r="D174" s="59" t="s">
        <v>66</v>
      </c>
      <c r="E174" s="59" t="s">
        <v>67</v>
      </c>
      <c r="F174" s="59" t="s">
        <v>68</v>
      </c>
      <c r="G174" s="59" t="s">
        <v>70</v>
      </c>
      <c r="H174" s="65" t="s">
        <v>66</v>
      </c>
      <c r="I174" s="65" t="s">
        <v>67</v>
      </c>
      <c r="J174" s="65" t="s">
        <v>68</v>
      </c>
      <c r="K174" s="65" t="s">
        <v>71</v>
      </c>
      <c r="L174" s="65" t="s">
        <v>66</v>
      </c>
      <c r="M174" s="65" t="s">
        <v>67</v>
      </c>
      <c r="N174" s="65" t="s">
        <v>68</v>
      </c>
      <c r="O174" s="65" t="s">
        <v>72</v>
      </c>
      <c r="R174" s="61"/>
      <c r="S174" s="61"/>
      <c r="V174" s="61"/>
      <c r="W174" s="61"/>
      <c r="X174" s="61"/>
      <c r="Y174" s="61"/>
      <c r="Z174" s="61"/>
      <c r="AC174" s="95"/>
      <c r="AD174" s="95"/>
      <c r="AE174" s="95"/>
      <c r="AF174" s="95"/>
      <c r="AG174" s="93"/>
      <c r="AH174" s="95"/>
    </row>
    <row r="175" spans="1:34" s="3" customFormat="1" ht="14.25" hidden="1" customHeight="1" x14ac:dyDescent="0.25">
      <c r="A175" s="53">
        <v>1</v>
      </c>
      <c r="B175" s="53">
        <v>2</v>
      </c>
      <c r="C175" s="53">
        <v>3</v>
      </c>
      <c r="D175" s="53">
        <v>4</v>
      </c>
      <c r="E175" s="53">
        <v>5</v>
      </c>
      <c r="F175" s="53">
        <v>6</v>
      </c>
      <c r="G175" s="53">
        <v>7</v>
      </c>
      <c r="H175" s="66">
        <v>8</v>
      </c>
      <c r="I175" s="66">
        <v>9</v>
      </c>
      <c r="J175" s="66">
        <v>10</v>
      </c>
      <c r="K175" s="66">
        <v>11</v>
      </c>
      <c r="L175" s="66">
        <v>12</v>
      </c>
      <c r="M175" s="66">
        <v>13</v>
      </c>
      <c r="N175" s="66">
        <v>14</v>
      </c>
      <c r="O175" s="66">
        <v>15</v>
      </c>
      <c r="R175" s="61"/>
      <c r="S175" s="61"/>
      <c r="V175" s="61"/>
      <c r="W175" s="61"/>
      <c r="X175" s="61"/>
      <c r="Y175" s="61"/>
      <c r="Z175" s="61"/>
      <c r="AC175" s="95"/>
      <c r="AD175" s="95"/>
      <c r="AE175" s="95"/>
      <c r="AF175" s="95"/>
      <c r="AG175" s="94"/>
      <c r="AH175" s="95"/>
    </row>
    <row r="176" spans="1:34" s="3" customFormat="1" ht="25.5" hidden="1" customHeight="1" x14ac:dyDescent="0.25">
      <c r="A176" s="53" t="s">
        <v>16</v>
      </c>
      <c r="B176" s="54" t="s">
        <v>15</v>
      </c>
      <c r="C176" s="55">
        <f t="shared" ref="C176:C193" si="51">C104+C128+C152</f>
        <v>10045844</v>
      </c>
      <c r="D176" s="55">
        <f t="shared" ref="D176:N176" si="52">D104+D128+D152</f>
        <v>240955</v>
      </c>
      <c r="E176" s="55">
        <f t="shared" si="52"/>
        <v>1326498</v>
      </c>
      <c r="F176" s="55">
        <f t="shared" si="52"/>
        <v>0</v>
      </c>
      <c r="G176" s="55">
        <f>D176+E176+F176</f>
        <v>1567453</v>
      </c>
      <c r="H176" s="63">
        <f t="shared" si="52"/>
        <v>1016019</v>
      </c>
      <c r="I176" s="63">
        <f t="shared" si="52"/>
        <v>5593342</v>
      </c>
      <c r="J176" s="63">
        <f t="shared" si="52"/>
        <v>0</v>
      </c>
      <c r="K176" s="63">
        <f>H176+I176+J176</f>
        <v>6609361</v>
      </c>
      <c r="L176" s="63">
        <f t="shared" si="52"/>
        <v>287315</v>
      </c>
      <c r="M176" s="63">
        <f t="shared" si="52"/>
        <v>1581715</v>
      </c>
      <c r="N176" s="63">
        <f t="shared" si="52"/>
        <v>0</v>
      </c>
      <c r="O176" s="63">
        <f>L176+M176+N176</f>
        <v>1869030</v>
      </c>
      <c r="R176" s="62">
        <f>G176+K176+O176</f>
        <v>10045844</v>
      </c>
      <c r="S176" s="62">
        <f>R176-C176</f>
        <v>0</v>
      </c>
      <c r="V176" s="61"/>
      <c r="W176" s="61"/>
      <c r="X176" s="61"/>
      <c r="Y176" s="61"/>
      <c r="Z176" s="61"/>
      <c r="AC176" s="95"/>
      <c r="AD176" s="95"/>
      <c r="AE176" s="95"/>
      <c r="AF176" s="95"/>
      <c r="AG176" s="94"/>
      <c r="AH176" s="95"/>
    </row>
    <row r="177" spans="1:19" customFormat="1" ht="40.5" hidden="1" customHeight="1" x14ac:dyDescent="0.25">
      <c r="A177" s="56" t="s">
        <v>24</v>
      </c>
      <c r="B177" s="54" t="s">
        <v>14</v>
      </c>
      <c r="C177" s="55">
        <f t="shared" si="51"/>
        <v>833478</v>
      </c>
      <c r="D177" s="55">
        <f t="shared" ref="D177:F193" si="53">D105+D129+D153</f>
        <v>89603</v>
      </c>
      <c r="E177" s="55">
        <f t="shared" si="53"/>
        <v>80544</v>
      </c>
      <c r="F177" s="55">
        <f t="shared" si="53"/>
        <v>2565</v>
      </c>
      <c r="G177" s="55">
        <f t="shared" ref="G177:G192" si="54">D177+E177+F177</f>
        <v>172712</v>
      </c>
      <c r="H177" s="63">
        <f t="shared" ref="H177:J193" si="55">H105+H129+H153</f>
        <v>263325</v>
      </c>
      <c r="I177" s="63">
        <f t="shared" si="55"/>
        <v>236706</v>
      </c>
      <c r="J177" s="63">
        <f t="shared" si="55"/>
        <v>7541</v>
      </c>
      <c r="K177" s="63">
        <f t="shared" ref="K177:K192" si="56">H177+I177+J177</f>
        <v>507572</v>
      </c>
      <c r="L177" s="63">
        <f t="shared" ref="L177:N193" si="57">L105+L129+L153</f>
        <v>79476</v>
      </c>
      <c r="M177" s="63">
        <f t="shared" si="57"/>
        <v>71442</v>
      </c>
      <c r="N177" s="63">
        <f t="shared" si="57"/>
        <v>2276</v>
      </c>
      <c r="O177" s="63">
        <f t="shared" ref="O177:O192" si="58">L177+M177+N177</f>
        <v>153194</v>
      </c>
      <c r="R177" s="62">
        <f t="shared" ref="R177:R194" si="59">G177+K177+O177</f>
        <v>833478</v>
      </c>
      <c r="S177" s="62">
        <f t="shared" ref="S177:S194" si="60">R177-C177</f>
        <v>0</v>
      </c>
    </row>
    <row r="178" spans="1:19" customFormat="1" ht="34.5" hidden="1" customHeight="1" x14ac:dyDescent="0.25">
      <c r="A178" s="56" t="s">
        <v>23</v>
      </c>
      <c r="B178" s="54" t="s">
        <v>13</v>
      </c>
      <c r="C178" s="55">
        <f t="shared" si="51"/>
        <v>2508894</v>
      </c>
      <c r="D178" s="55">
        <f t="shared" si="53"/>
        <v>0</v>
      </c>
      <c r="E178" s="55">
        <f t="shared" si="53"/>
        <v>142204</v>
      </c>
      <c r="F178" s="55">
        <f t="shared" si="53"/>
        <v>0</v>
      </c>
      <c r="G178" s="55">
        <f t="shared" si="54"/>
        <v>142204</v>
      </c>
      <c r="H178" s="63">
        <f t="shared" si="55"/>
        <v>0</v>
      </c>
      <c r="I178" s="63">
        <f t="shared" si="55"/>
        <v>2107848</v>
      </c>
      <c r="J178" s="63">
        <f t="shared" si="55"/>
        <v>0</v>
      </c>
      <c r="K178" s="63">
        <f t="shared" si="56"/>
        <v>2107848</v>
      </c>
      <c r="L178" s="63">
        <f t="shared" si="57"/>
        <v>0</v>
      </c>
      <c r="M178" s="63">
        <f t="shared" si="57"/>
        <v>258842</v>
      </c>
      <c r="N178" s="63">
        <f t="shared" si="57"/>
        <v>0</v>
      </c>
      <c r="O178" s="63">
        <f t="shared" si="58"/>
        <v>258842</v>
      </c>
      <c r="R178" s="62">
        <f t="shared" si="59"/>
        <v>2508894</v>
      </c>
      <c r="S178" s="62">
        <f t="shared" si="60"/>
        <v>0</v>
      </c>
    </row>
    <row r="179" spans="1:19" customFormat="1" ht="40.5" hidden="1" customHeight="1" x14ac:dyDescent="0.25">
      <c r="A179" s="56" t="s">
        <v>22</v>
      </c>
      <c r="B179" s="54" t="s">
        <v>12</v>
      </c>
      <c r="C179" s="55">
        <f t="shared" si="51"/>
        <v>558426</v>
      </c>
      <c r="D179" s="55">
        <f t="shared" si="53"/>
        <v>64235</v>
      </c>
      <c r="E179" s="55">
        <f t="shared" si="53"/>
        <v>0</v>
      </c>
      <c r="F179" s="55">
        <f t="shared" si="53"/>
        <v>0</v>
      </c>
      <c r="G179" s="55">
        <f t="shared" si="54"/>
        <v>64235</v>
      </c>
      <c r="H179" s="63">
        <f t="shared" si="55"/>
        <v>417771</v>
      </c>
      <c r="I179" s="63">
        <f t="shared" si="55"/>
        <v>0</v>
      </c>
      <c r="J179" s="63">
        <f t="shared" si="55"/>
        <v>0</v>
      </c>
      <c r="K179" s="63">
        <f t="shared" si="56"/>
        <v>417771</v>
      </c>
      <c r="L179" s="63">
        <f t="shared" si="57"/>
        <v>76420</v>
      </c>
      <c r="M179" s="63">
        <f t="shared" si="57"/>
        <v>0</v>
      </c>
      <c r="N179" s="63">
        <f t="shared" si="57"/>
        <v>0</v>
      </c>
      <c r="O179" s="63">
        <f t="shared" si="58"/>
        <v>76420</v>
      </c>
      <c r="R179" s="62">
        <f t="shared" si="59"/>
        <v>558426</v>
      </c>
      <c r="S179" s="62">
        <f t="shared" si="60"/>
        <v>0</v>
      </c>
    </row>
    <row r="180" spans="1:19" customFormat="1" ht="39.75" hidden="1" customHeight="1" x14ac:dyDescent="0.25">
      <c r="A180" s="56" t="s">
        <v>21</v>
      </c>
      <c r="B180" s="54" t="s">
        <v>11</v>
      </c>
      <c r="C180" s="55">
        <f t="shared" si="51"/>
        <v>371832</v>
      </c>
      <c r="D180" s="55">
        <f t="shared" si="53"/>
        <v>14605</v>
      </c>
      <c r="E180" s="55">
        <f t="shared" si="53"/>
        <v>22987</v>
      </c>
      <c r="F180" s="55">
        <f t="shared" si="53"/>
        <v>9947</v>
      </c>
      <c r="G180" s="55">
        <f t="shared" si="54"/>
        <v>47539</v>
      </c>
      <c r="H180" s="63">
        <f t="shared" si="55"/>
        <v>77478</v>
      </c>
      <c r="I180" s="63">
        <f t="shared" si="55"/>
        <v>121936</v>
      </c>
      <c r="J180" s="63">
        <f t="shared" si="55"/>
        <v>52767</v>
      </c>
      <c r="K180" s="63">
        <f t="shared" si="56"/>
        <v>252181</v>
      </c>
      <c r="L180" s="63">
        <f t="shared" si="57"/>
        <v>22155</v>
      </c>
      <c r="M180" s="63">
        <f t="shared" si="57"/>
        <v>34869</v>
      </c>
      <c r="N180" s="63">
        <f t="shared" si="57"/>
        <v>15088</v>
      </c>
      <c r="O180" s="63">
        <f t="shared" si="58"/>
        <v>72112</v>
      </c>
      <c r="R180" s="62">
        <f t="shared" si="59"/>
        <v>371832</v>
      </c>
      <c r="S180" s="62">
        <f t="shared" si="60"/>
        <v>0</v>
      </c>
    </row>
    <row r="181" spans="1:19" customFormat="1" ht="28.5" hidden="1" customHeight="1" x14ac:dyDescent="0.25">
      <c r="A181" s="56" t="s">
        <v>20</v>
      </c>
      <c r="B181" s="54" t="s">
        <v>34</v>
      </c>
      <c r="C181" s="55">
        <f t="shared" si="51"/>
        <v>673341</v>
      </c>
      <c r="D181" s="55">
        <f t="shared" si="53"/>
        <v>126036</v>
      </c>
      <c r="E181" s="55">
        <f t="shared" si="53"/>
        <v>0</v>
      </c>
      <c r="F181" s="55">
        <f t="shared" si="53"/>
        <v>0</v>
      </c>
      <c r="G181" s="55">
        <f t="shared" si="54"/>
        <v>126036</v>
      </c>
      <c r="H181" s="63">
        <f t="shared" si="55"/>
        <v>411391</v>
      </c>
      <c r="I181" s="63">
        <f t="shared" si="55"/>
        <v>0</v>
      </c>
      <c r="J181" s="63">
        <f t="shared" si="55"/>
        <v>0</v>
      </c>
      <c r="K181" s="63">
        <f t="shared" si="56"/>
        <v>411391</v>
      </c>
      <c r="L181" s="63">
        <f t="shared" si="57"/>
        <v>135914</v>
      </c>
      <c r="M181" s="63">
        <f t="shared" si="57"/>
        <v>0</v>
      </c>
      <c r="N181" s="63">
        <f t="shared" si="57"/>
        <v>0</v>
      </c>
      <c r="O181" s="63">
        <f t="shared" si="58"/>
        <v>135914</v>
      </c>
      <c r="R181" s="62">
        <f t="shared" si="59"/>
        <v>673341</v>
      </c>
      <c r="S181" s="62">
        <f t="shared" si="60"/>
        <v>0</v>
      </c>
    </row>
    <row r="182" spans="1:19" customFormat="1" ht="34.5" hidden="1" customHeight="1" x14ac:dyDescent="0.25">
      <c r="A182" s="56" t="s">
        <v>19</v>
      </c>
      <c r="B182" s="54" t="s">
        <v>10</v>
      </c>
      <c r="C182" s="55">
        <f t="shared" si="51"/>
        <v>2703049</v>
      </c>
      <c r="D182" s="55">
        <f t="shared" si="53"/>
        <v>58712</v>
      </c>
      <c r="E182" s="55">
        <f t="shared" si="53"/>
        <v>76793</v>
      </c>
      <c r="F182" s="55">
        <f t="shared" si="53"/>
        <v>3620</v>
      </c>
      <c r="G182" s="55">
        <f t="shared" si="54"/>
        <v>139125</v>
      </c>
      <c r="H182" s="63">
        <f t="shared" si="55"/>
        <v>913168</v>
      </c>
      <c r="I182" s="63">
        <f t="shared" si="55"/>
        <v>1194378</v>
      </c>
      <c r="J182" s="63">
        <f t="shared" si="55"/>
        <v>56300</v>
      </c>
      <c r="K182" s="63">
        <f t="shared" si="56"/>
        <v>2163846</v>
      </c>
      <c r="L182" s="63">
        <f t="shared" si="57"/>
        <v>168838</v>
      </c>
      <c r="M182" s="63">
        <f t="shared" si="57"/>
        <v>220831</v>
      </c>
      <c r="N182" s="63">
        <f t="shared" si="57"/>
        <v>10409</v>
      </c>
      <c r="O182" s="63">
        <f t="shared" si="58"/>
        <v>400078</v>
      </c>
      <c r="R182" s="62">
        <f t="shared" si="59"/>
        <v>2703049</v>
      </c>
      <c r="S182" s="62">
        <f t="shared" si="60"/>
        <v>0</v>
      </c>
    </row>
    <row r="183" spans="1:19" customFormat="1" ht="25.5" hidden="1" customHeight="1" x14ac:dyDescent="0.25">
      <c r="A183" s="56" t="s">
        <v>18</v>
      </c>
      <c r="B183" s="54" t="s">
        <v>9</v>
      </c>
      <c r="C183" s="55">
        <f t="shared" si="51"/>
        <v>1731644</v>
      </c>
      <c r="D183" s="55">
        <f t="shared" si="53"/>
        <v>135470</v>
      </c>
      <c r="E183" s="55">
        <f t="shared" si="53"/>
        <v>279183</v>
      </c>
      <c r="F183" s="55">
        <f t="shared" si="53"/>
        <v>2431</v>
      </c>
      <c r="G183" s="55">
        <f t="shared" si="54"/>
        <v>417084</v>
      </c>
      <c r="H183" s="63">
        <f t="shared" si="55"/>
        <v>423292</v>
      </c>
      <c r="I183" s="63">
        <f t="shared" si="55"/>
        <v>872346</v>
      </c>
      <c r="J183" s="63">
        <f t="shared" si="55"/>
        <v>7596</v>
      </c>
      <c r="K183" s="63">
        <f t="shared" si="56"/>
        <v>1303234</v>
      </c>
      <c r="L183" s="63">
        <f t="shared" si="57"/>
        <v>3679</v>
      </c>
      <c r="M183" s="63">
        <f t="shared" si="57"/>
        <v>7581</v>
      </c>
      <c r="N183" s="63">
        <f t="shared" si="57"/>
        <v>66</v>
      </c>
      <c r="O183" s="63">
        <f t="shared" si="58"/>
        <v>11326</v>
      </c>
      <c r="R183" s="62">
        <f t="shared" si="59"/>
        <v>1731644</v>
      </c>
      <c r="S183" s="62">
        <f t="shared" si="60"/>
        <v>0</v>
      </c>
    </row>
    <row r="184" spans="1:19" customFormat="1" ht="25.5" hidden="1" customHeight="1" x14ac:dyDescent="0.25">
      <c r="A184" s="56" t="s">
        <v>25</v>
      </c>
      <c r="B184" s="54" t="s">
        <v>8</v>
      </c>
      <c r="C184" s="55">
        <f t="shared" si="51"/>
        <v>3308456</v>
      </c>
      <c r="D184" s="55">
        <f t="shared" si="53"/>
        <v>21795</v>
      </c>
      <c r="E184" s="55">
        <f t="shared" si="53"/>
        <v>108890</v>
      </c>
      <c r="F184" s="55">
        <f t="shared" si="53"/>
        <v>0</v>
      </c>
      <c r="G184" s="55">
        <f t="shared" si="54"/>
        <v>130685</v>
      </c>
      <c r="H184" s="63">
        <f t="shared" si="55"/>
        <v>353712</v>
      </c>
      <c r="I184" s="63">
        <f t="shared" si="55"/>
        <v>1767272</v>
      </c>
      <c r="J184" s="63">
        <f t="shared" si="55"/>
        <v>0</v>
      </c>
      <c r="K184" s="63">
        <f t="shared" si="56"/>
        <v>2120984</v>
      </c>
      <c r="L184" s="63">
        <f t="shared" si="57"/>
        <v>176238</v>
      </c>
      <c r="M184" s="63">
        <f t="shared" si="57"/>
        <v>880549</v>
      </c>
      <c r="N184" s="63">
        <f t="shared" si="57"/>
        <v>0</v>
      </c>
      <c r="O184" s="63">
        <f t="shared" si="58"/>
        <v>1056787</v>
      </c>
      <c r="R184" s="62">
        <f t="shared" si="59"/>
        <v>3308456</v>
      </c>
      <c r="S184" s="62">
        <f t="shared" si="60"/>
        <v>0</v>
      </c>
    </row>
    <row r="185" spans="1:19" customFormat="1" ht="25.5" hidden="1" customHeight="1" x14ac:dyDescent="0.25">
      <c r="A185" s="56" t="s">
        <v>26</v>
      </c>
      <c r="B185" s="54" t="s">
        <v>7</v>
      </c>
      <c r="C185" s="55">
        <f t="shared" si="51"/>
        <v>1719656</v>
      </c>
      <c r="D185" s="55">
        <f t="shared" si="53"/>
        <v>4022</v>
      </c>
      <c r="E185" s="55">
        <f t="shared" si="53"/>
        <v>27396</v>
      </c>
      <c r="F185" s="55">
        <f t="shared" si="53"/>
        <v>0</v>
      </c>
      <c r="G185" s="55">
        <f t="shared" si="54"/>
        <v>31418</v>
      </c>
      <c r="H185" s="63">
        <f t="shared" si="55"/>
        <v>196518</v>
      </c>
      <c r="I185" s="63">
        <f t="shared" si="55"/>
        <v>1338413</v>
      </c>
      <c r="J185" s="63">
        <f t="shared" si="55"/>
        <v>0</v>
      </c>
      <c r="K185" s="63">
        <f t="shared" si="56"/>
        <v>1534931</v>
      </c>
      <c r="L185" s="63">
        <f t="shared" si="57"/>
        <v>19628</v>
      </c>
      <c r="M185" s="63">
        <f t="shared" si="57"/>
        <v>133679</v>
      </c>
      <c r="N185" s="63">
        <f t="shared" si="57"/>
        <v>0</v>
      </c>
      <c r="O185" s="63">
        <f t="shared" si="58"/>
        <v>153307</v>
      </c>
      <c r="R185" s="62">
        <f t="shared" si="59"/>
        <v>1719656</v>
      </c>
      <c r="S185" s="62">
        <f t="shared" si="60"/>
        <v>0</v>
      </c>
    </row>
    <row r="186" spans="1:19" customFormat="1" ht="25.5" hidden="1" customHeight="1" x14ac:dyDescent="0.25">
      <c r="A186" s="56" t="s">
        <v>27</v>
      </c>
      <c r="B186" s="54" t="s">
        <v>6</v>
      </c>
      <c r="C186" s="55">
        <f t="shared" si="51"/>
        <v>1196645</v>
      </c>
      <c r="D186" s="55">
        <f t="shared" si="53"/>
        <v>3898</v>
      </c>
      <c r="E186" s="55">
        <f t="shared" si="53"/>
        <v>4358</v>
      </c>
      <c r="F186" s="55">
        <f t="shared" si="53"/>
        <v>84</v>
      </c>
      <c r="G186" s="55">
        <f t="shared" si="54"/>
        <v>8340</v>
      </c>
      <c r="H186" s="63">
        <f t="shared" si="55"/>
        <v>554623</v>
      </c>
      <c r="I186" s="63">
        <f t="shared" si="55"/>
        <v>619984</v>
      </c>
      <c r="J186" s="63">
        <f t="shared" si="55"/>
        <v>11903</v>
      </c>
      <c r="K186" s="63">
        <f t="shared" si="56"/>
        <v>1186510</v>
      </c>
      <c r="L186" s="63">
        <f t="shared" si="57"/>
        <v>839</v>
      </c>
      <c r="M186" s="63">
        <f t="shared" si="57"/>
        <v>938</v>
      </c>
      <c r="N186" s="63">
        <f t="shared" si="57"/>
        <v>18</v>
      </c>
      <c r="O186" s="63">
        <f t="shared" si="58"/>
        <v>1795</v>
      </c>
      <c r="R186" s="62">
        <f t="shared" si="59"/>
        <v>1196645</v>
      </c>
      <c r="S186" s="62">
        <f t="shared" si="60"/>
        <v>0</v>
      </c>
    </row>
    <row r="187" spans="1:19" customFormat="1" ht="25.5" hidden="1" customHeight="1" x14ac:dyDescent="0.25">
      <c r="A187" s="56" t="s">
        <v>28</v>
      </c>
      <c r="B187" s="54" t="s">
        <v>5</v>
      </c>
      <c r="C187" s="55">
        <f t="shared" si="51"/>
        <v>2086373</v>
      </c>
      <c r="D187" s="55">
        <f t="shared" si="53"/>
        <v>111802</v>
      </c>
      <c r="E187" s="55">
        <f t="shared" si="53"/>
        <v>167085</v>
      </c>
      <c r="F187" s="55">
        <f t="shared" si="53"/>
        <v>9764</v>
      </c>
      <c r="G187" s="55">
        <f t="shared" si="54"/>
        <v>288651</v>
      </c>
      <c r="H187" s="63">
        <f t="shared" si="55"/>
        <v>689530</v>
      </c>
      <c r="I187" s="63">
        <f t="shared" si="55"/>
        <v>1030473</v>
      </c>
      <c r="J187" s="63">
        <f t="shared" si="55"/>
        <v>60215</v>
      </c>
      <c r="K187" s="63">
        <f t="shared" si="56"/>
        <v>1780218</v>
      </c>
      <c r="L187" s="63">
        <f t="shared" si="57"/>
        <v>6780</v>
      </c>
      <c r="M187" s="63">
        <f t="shared" si="57"/>
        <v>10132</v>
      </c>
      <c r="N187" s="63">
        <f t="shared" si="57"/>
        <v>592</v>
      </c>
      <c r="O187" s="63">
        <f t="shared" si="58"/>
        <v>17504</v>
      </c>
      <c r="R187" s="62">
        <f t="shared" si="59"/>
        <v>2086373</v>
      </c>
      <c r="S187" s="62">
        <f t="shared" si="60"/>
        <v>0</v>
      </c>
    </row>
    <row r="188" spans="1:19" customFormat="1" ht="25.5" hidden="1" customHeight="1" x14ac:dyDescent="0.25">
      <c r="A188" s="56" t="s">
        <v>29</v>
      </c>
      <c r="B188" s="54" t="s">
        <v>4</v>
      </c>
      <c r="C188" s="55">
        <f t="shared" si="51"/>
        <v>1136074</v>
      </c>
      <c r="D188" s="55">
        <f t="shared" si="53"/>
        <v>22031</v>
      </c>
      <c r="E188" s="55">
        <f t="shared" si="53"/>
        <v>37121</v>
      </c>
      <c r="F188" s="55">
        <f t="shared" si="53"/>
        <v>1537</v>
      </c>
      <c r="G188" s="55">
        <f t="shared" si="54"/>
        <v>60689</v>
      </c>
      <c r="H188" s="63">
        <f t="shared" si="55"/>
        <v>377469</v>
      </c>
      <c r="I188" s="63">
        <f t="shared" si="55"/>
        <v>636034</v>
      </c>
      <c r="J188" s="63">
        <f t="shared" si="55"/>
        <v>26356</v>
      </c>
      <c r="K188" s="63">
        <f t="shared" si="56"/>
        <v>1039859</v>
      </c>
      <c r="L188" s="63">
        <f t="shared" si="57"/>
        <v>12896</v>
      </c>
      <c r="M188" s="63">
        <f t="shared" si="57"/>
        <v>21729</v>
      </c>
      <c r="N188" s="63">
        <f t="shared" si="57"/>
        <v>901</v>
      </c>
      <c r="O188" s="63">
        <f t="shared" si="58"/>
        <v>35526</v>
      </c>
      <c r="R188" s="62">
        <f t="shared" si="59"/>
        <v>1136074</v>
      </c>
      <c r="S188" s="62">
        <f t="shared" si="60"/>
        <v>0</v>
      </c>
    </row>
    <row r="189" spans="1:19" customFormat="1" ht="25.5" hidden="1" customHeight="1" x14ac:dyDescent="0.25">
      <c r="A189" s="56">
        <v>14</v>
      </c>
      <c r="B189" s="54" t="s">
        <v>3</v>
      </c>
      <c r="C189" s="55">
        <f t="shared" si="51"/>
        <v>2269652</v>
      </c>
      <c r="D189" s="55">
        <f t="shared" si="53"/>
        <v>108786</v>
      </c>
      <c r="E189" s="55">
        <f t="shared" si="53"/>
        <v>53556</v>
      </c>
      <c r="F189" s="55">
        <f t="shared" si="53"/>
        <v>5022</v>
      </c>
      <c r="G189" s="55">
        <f t="shared" si="54"/>
        <v>167364</v>
      </c>
      <c r="H189" s="63">
        <f t="shared" si="55"/>
        <v>1215479</v>
      </c>
      <c r="I189" s="63">
        <f t="shared" si="55"/>
        <v>598389</v>
      </c>
      <c r="J189" s="63">
        <f t="shared" si="55"/>
        <v>56099</v>
      </c>
      <c r="K189" s="63">
        <f t="shared" si="56"/>
        <v>1869967</v>
      </c>
      <c r="L189" s="63">
        <f t="shared" si="57"/>
        <v>151008</v>
      </c>
      <c r="M189" s="63">
        <f t="shared" si="57"/>
        <v>74343</v>
      </c>
      <c r="N189" s="63">
        <f t="shared" si="57"/>
        <v>6970</v>
      </c>
      <c r="O189" s="63">
        <f t="shared" si="58"/>
        <v>232321</v>
      </c>
      <c r="R189" s="62">
        <f t="shared" si="59"/>
        <v>2269652</v>
      </c>
      <c r="S189" s="62">
        <f t="shared" si="60"/>
        <v>0</v>
      </c>
    </row>
    <row r="190" spans="1:19" customFormat="1" ht="54" hidden="1" customHeight="1" x14ac:dyDescent="0.25">
      <c r="A190" s="56" t="s">
        <v>30</v>
      </c>
      <c r="B190" s="54" t="s">
        <v>2</v>
      </c>
      <c r="C190" s="55">
        <f t="shared" si="51"/>
        <v>184341</v>
      </c>
      <c r="D190" s="55">
        <f t="shared" si="53"/>
        <v>5221</v>
      </c>
      <c r="E190" s="55">
        <f t="shared" si="53"/>
        <v>0</v>
      </c>
      <c r="F190" s="55">
        <f t="shared" si="53"/>
        <v>0</v>
      </c>
      <c r="G190" s="55">
        <f t="shared" si="54"/>
        <v>5221</v>
      </c>
      <c r="H190" s="63">
        <f t="shared" si="55"/>
        <v>154324</v>
      </c>
      <c r="I190" s="63">
        <f t="shared" si="55"/>
        <v>0</v>
      </c>
      <c r="J190" s="63">
        <f t="shared" si="55"/>
        <v>0</v>
      </c>
      <c r="K190" s="63">
        <f t="shared" si="56"/>
        <v>154324</v>
      </c>
      <c r="L190" s="63">
        <f t="shared" si="57"/>
        <v>24796</v>
      </c>
      <c r="M190" s="63">
        <f t="shared" si="57"/>
        <v>0</v>
      </c>
      <c r="N190" s="63">
        <f t="shared" si="57"/>
        <v>0</v>
      </c>
      <c r="O190" s="63">
        <f t="shared" si="58"/>
        <v>24796</v>
      </c>
      <c r="R190" s="62">
        <f t="shared" si="59"/>
        <v>184341</v>
      </c>
      <c r="S190" s="62">
        <f t="shared" si="60"/>
        <v>0</v>
      </c>
    </row>
    <row r="191" spans="1:19" customFormat="1" ht="39.75" hidden="1" customHeight="1" x14ac:dyDescent="0.25">
      <c r="A191" s="56" t="s">
        <v>31</v>
      </c>
      <c r="B191" s="54" t="s">
        <v>1</v>
      </c>
      <c r="C191" s="55">
        <f t="shared" si="51"/>
        <v>118028</v>
      </c>
      <c r="D191" s="55">
        <f t="shared" si="53"/>
        <v>8779</v>
      </c>
      <c r="E191" s="55">
        <f t="shared" si="53"/>
        <v>0</v>
      </c>
      <c r="F191" s="55">
        <f t="shared" si="53"/>
        <v>0</v>
      </c>
      <c r="G191" s="55">
        <f t="shared" si="54"/>
        <v>8779</v>
      </c>
      <c r="H191" s="63">
        <f t="shared" si="55"/>
        <v>104488</v>
      </c>
      <c r="I191" s="63">
        <f t="shared" si="55"/>
        <v>0</v>
      </c>
      <c r="J191" s="63">
        <f t="shared" si="55"/>
        <v>0</v>
      </c>
      <c r="K191" s="63">
        <f t="shared" si="56"/>
        <v>104488</v>
      </c>
      <c r="L191" s="63">
        <f t="shared" si="57"/>
        <v>4761</v>
      </c>
      <c r="M191" s="63">
        <f t="shared" si="57"/>
        <v>0</v>
      </c>
      <c r="N191" s="63">
        <f t="shared" si="57"/>
        <v>0</v>
      </c>
      <c r="O191" s="63">
        <f t="shared" si="58"/>
        <v>4761</v>
      </c>
      <c r="R191" s="62">
        <f t="shared" si="59"/>
        <v>118028</v>
      </c>
      <c r="S191" s="62">
        <f t="shared" si="60"/>
        <v>0</v>
      </c>
    </row>
    <row r="192" spans="1:19" customFormat="1" ht="33" hidden="1" customHeight="1" x14ac:dyDescent="0.25">
      <c r="A192" s="56" t="s">
        <v>32</v>
      </c>
      <c r="B192" s="54" t="s">
        <v>73</v>
      </c>
      <c r="C192" s="55">
        <f t="shared" si="51"/>
        <v>103738</v>
      </c>
      <c r="D192" s="55">
        <f t="shared" si="53"/>
        <v>20405</v>
      </c>
      <c r="E192" s="55">
        <f t="shared" si="53"/>
        <v>0</v>
      </c>
      <c r="F192" s="55">
        <f t="shared" si="53"/>
        <v>0</v>
      </c>
      <c r="G192" s="55">
        <f t="shared" si="54"/>
        <v>20405</v>
      </c>
      <c r="H192" s="63">
        <f t="shared" si="55"/>
        <v>66792</v>
      </c>
      <c r="I192" s="63">
        <f t="shared" si="55"/>
        <v>0</v>
      </c>
      <c r="J192" s="63">
        <f t="shared" si="55"/>
        <v>0</v>
      </c>
      <c r="K192" s="63">
        <f t="shared" si="56"/>
        <v>66792</v>
      </c>
      <c r="L192" s="63">
        <f t="shared" si="57"/>
        <v>16541</v>
      </c>
      <c r="M192" s="63">
        <f t="shared" si="57"/>
        <v>0</v>
      </c>
      <c r="N192" s="63">
        <f t="shared" si="57"/>
        <v>0</v>
      </c>
      <c r="O192" s="63">
        <f t="shared" si="58"/>
        <v>16541</v>
      </c>
      <c r="R192" s="62">
        <f t="shared" si="59"/>
        <v>103738</v>
      </c>
      <c r="S192" s="62">
        <f t="shared" si="60"/>
        <v>0</v>
      </c>
    </row>
    <row r="193" spans="1:34" ht="33" hidden="1" customHeight="1" x14ac:dyDescent="0.25">
      <c r="A193" s="56" t="s">
        <v>90</v>
      </c>
      <c r="B193" s="70" t="s">
        <v>91</v>
      </c>
      <c r="C193" s="55">
        <f t="shared" si="51"/>
        <v>184986</v>
      </c>
      <c r="D193" s="55">
        <f t="shared" si="53"/>
        <v>0</v>
      </c>
      <c r="E193" s="55">
        <f t="shared" si="53"/>
        <v>31308</v>
      </c>
      <c r="F193" s="55">
        <f t="shared" si="53"/>
        <v>0</v>
      </c>
      <c r="G193" s="55">
        <f t="shared" ref="G193" si="61">D193+E193+F193</f>
        <v>31308</v>
      </c>
      <c r="H193" s="63">
        <f t="shared" si="55"/>
        <v>0</v>
      </c>
      <c r="I193" s="63">
        <f t="shared" si="55"/>
        <v>102918</v>
      </c>
      <c r="J193" s="63">
        <f t="shared" si="55"/>
        <v>0</v>
      </c>
      <c r="K193" s="63">
        <f t="shared" ref="K193" si="62">H193+I193+J193</f>
        <v>102918</v>
      </c>
      <c r="L193" s="63">
        <f t="shared" si="57"/>
        <v>0</v>
      </c>
      <c r="M193" s="63">
        <f t="shared" si="57"/>
        <v>50760</v>
      </c>
      <c r="N193" s="63">
        <f t="shared" si="57"/>
        <v>0</v>
      </c>
      <c r="O193" s="63">
        <f t="shared" ref="O193" si="63">L193+M193+N193</f>
        <v>50760</v>
      </c>
      <c r="R193" s="62">
        <f t="shared" si="59"/>
        <v>184986</v>
      </c>
      <c r="S193" s="62">
        <f>R193-C193</f>
        <v>0</v>
      </c>
    </row>
    <row r="194" spans="1:34" ht="25.5" hidden="1" customHeight="1" x14ac:dyDescent="0.25">
      <c r="A194" s="57"/>
      <c r="B194" s="57" t="s">
        <v>0</v>
      </c>
      <c r="C194" s="58">
        <f>SUM(C176:C193)</f>
        <v>31734457</v>
      </c>
      <c r="D194" s="58">
        <f t="shared" ref="D194:O194" si="64">SUM(D176:D193)</f>
        <v>1036355</v>
      </c>
      <c r="E194" s="58">
        <f t="shared" si="64"/>
        <v>2357923</v>
      </c>
      <c r="F194" s="58">
        <f t="shared" si="64"/>
        <v>34970</v>
      </c>
      <c r="G194" s="58">
        <f t="shared" si="64"/>
        <v>3429248</v>
      </c>
      <c r="H194" s="58">
        <f t="shared" si="64"/>
        <v>7235379</v>
      </c>
      <c r="I194" s="58">
        <f t="shared" si="64"/>
        <v>16220039</v>
      </c>
      <c r="J194" s="58">
        <f t="shared" si="64"/>
        <v>278777</v>
      </c>
      <c r="K194" s="58">
        <f t="shared" si="64"/>
        <v>23734195</v>
      </c>
      <c r="L194" s="58">
        <f t="shared" si="64"/>
        <v>1187284</v>
      </c>
      <c r="M194" s="58">
        <f t="shared" si="64"/>
        <v>3347410</v>
      </c>
      <c r="N194" s="58">
        <f t="shared" si="64"/>
        <v>36320</v>
      </c>
      <c r="O194" s="58">
        <f t="shared" si="64"/>
        <v>4571014</v>
      </c>
      <c r="R194" s="62">
        <f t="shared" si="59"/>
        <v>31734457</v>
      </c>
      <c r="S194" s="62">
        <f t="shared" si="60"/>
        <v>0</v>
      </c>
    </row>
    <row r="196" spans="1:34" s="4" customFormat="1" ht="28.5" customHeight="1" x14ac:dyDescent="0.25">
      <c r="A196" s="152" t="s">
        <v>17</v>
      </c>
      <c r="B196" s="152" t="s">
        <v>33</v>
      </c>
      <c r="C196" s="152" t="s">
        <v>81</v>
      </c>
      <c r="D196" s="152" t="s">
        <v>69</v>
      </c>
      <c r="E196" s="152"/>
      <c r="F196" s="152"/>
      <c r="G196" s="152"/>
      <c r="H196" s="152"/>
      <c r="I196" s="152"/>
      <c r="J196" s="152"/>
      <c r="K196" s="152"/>
      <c r="L196" s="152"/>
      <c r="M196" s="152"/>
      <c r="N196" s="152"/>
      <c r="O196" s="152"/>
      <c r="R196" s="61"/>
      <c r="S196" s="61"/>
      <c r="V196" s="61"/>
      <c r="W196" s="61"/>
      <c r="X196" s="61"/>
      <c r="Y196" s="61"/>
      <c r="Z196" s="61"/>
      <c r="AC196" s="95"/>
      <c r="AD196" s="95"/>
      <c r="AE196" s="95"/>
      <c r="AF196" s="95"/>
      <c r="AG196" s="93"/>
      <c r="AH196" s="95"/>
    </row>
    <row r="197" spans="1:34" s="4" customFormat="1" ht="41.25" customHeight="1" x14ac:dyDescent="0.25">
      <c r="A197" s="152"/>
      <c r="B197" s="152"/>
      <c r="C197" s="152"/>
      <c r="D197" s="154" t="s">
        <v>36</v>
      </c>
      <c r="E197" s="154"/>
      <c r="F197" s="154"/>
      <c r="G197" s="154"/>
      <c r="H197" s="155" t="s">
        <v>37</v>
      </c>
      <c r="I197" s="156"/>
      <c r="J197" s="156"/>
      <c r="K197" s="157"/>
      <c r="L197" s="155" t="s">
        <v>38</v>
      </c>
      <c r="M197" s="156"/>
      <c r="N197" s="156"/>
      <c r="O197" s="157"/>
      <c r="R197" s="61"/>
      <c r="S197" s="61"/>
      <c r="V197" s="61"/>
      <c r="W197" s="61"/>
      <c r="X197" s="61"/>
      <c r="Y197" s="61"/>
      <c r="Z197" s="61"/>
      <c r="AC197" s="95"/>
      <c r="AD197" s="95"/>
      <c r="AE197" s="95"/>
      <c r="AF197" s="95"/>
      <c r="AG197" s="93"/>
      <c r="AH197" s="95"/>
    </row>
    <row r="198" spans="1:34" s="4" customFormat="1" ht="59.25" customHeight="1" x14ac:dyDescent="0.25">
      <c r="A198" s="152"/>
      <c r="B198" s="152"/>
      <c r="C198" s="152"/>
      <c r="D198" s="59" t="s">
        <v>66</v>
      </c>
      <c r="E198" s="59" t="s">
        <v>67</v>
      </c>
      <c r="F198" s="59" t="s">
        <v>68</v>
      </c>
      <c r="G198" s="59" t="s">
        <v>70</v>
      </c>
      <c r="H198" s="65" t="s">
        <v>66</v>
      </c>
      <c r="I198" s="65" t="s">
        <v>67</v>
      </c>
      <c r="J198" s="65" t="s">
        <v>68</v>
      </c>
      <c r="K198" s="65" t="s">
        <v>71</v>
      </c>
      <c r="L198" s="65" t="s">
        <v>66</v>
      </c>
      <c r="M198" s="65" t="s">
        <v>67</v>
      </c>
      <c r="N198" s="65" t="s">
        <v>68</v>
      </c>
      <c r="O198" s="65" t="s">
        <v>72</v>
      </c>
      <c r="R198" s="61"/>
      <c r="S198" s="61"/>
      <c r="V198" s="61" t="s">
        <v>44</v>
      </c>
      <c r="W198" s="61" t="s">
        <v>96</v>
      </c>
      <c r="X198" s="61" t="s">
        <v>97</v>
      </c>
      <c r="Y198" s="61"/>
      <c r="Z198" s="61"/>
      <c r="AC198" s="95" t="s">
        <v>44</v>
      </c>
      <c r="AD198" s="95" t="s">
        <v>96</v>
      </c>
      <c r="AE198" s="95" t="s">
        <v>97</v>
      </c>
      <c r="AF198" s="95"/>
      <c r="AG198" s="93"/>
      <c r="AH198" s="95"/>
    </row>
    <row r="199" spans="1:34" s="3" customFormat="1" ht="14.25" customHeight="1" x14ac:dyDescent="0.25">
      <c r="A199" s="53">
        <v>1</v>
      </c>
      <c r="B199" s="53">
        <v>2</v>
      </c>
      <c r="C199" s="53">
        <v>3</v>
      </c>
      <c r="D199" s="53">
        <v>4</v>
      </c>
      <c r="E199" s="53">
        <v>5</v>
      </c>
      <c r="F199" s="53">
        <v>6</v>
      </c>
      <c r="G199" s="53">
        <v>7</v>
      </c>
      <c r="H199" s="66">
        <v>8</v>
      </c>
      <c r="I199" s="66">
        <v>9</v>
      </c>
      <c r="J199" s="66">
        <v>10</v>
      </c>
      <c r="K199" s="66">
        <v>11</v>
      </c>
      <c r="L199" s="66">
        <v>12</v>
      </c>
      <c r="M199" s="66">
        <v>13</v>
      </c>
      <c r="N199" s="66">
        <v>14</v>
      </c>
      <c r="O199" s="66">
        <v>15</v>
      </c>
      <c r="R199" s="61"/>
      <c r="S199" s="61"/>
      <c r="V199" s="61"/>
      <c r="W199" s="61"/>
      <c r="X199" s="61"/>
      <c r="Y199" s="61"/>
      <c r="Z199" s="61"/>
      <c r="AC199" s="95"/>
      <c r="AD199" s="95"/>
      <c r="AE199" s="95"/>
      <c r="AF199" s="95"/>
      <c r="AG199" s="94"/>
      <c r="AH199" s="95"/>
    </row>
    <row r="200" spans="1:34" s="3" customFormat="1" ht="25.5" customHeight="1" x14ac:dyDescent="0.25">
      <c r="A200" s="53" t="s">
        <v>16</v>
      </c>
      <c r="B200" s="54" t="s">
        <v>15</v>
      </c>
      <c r="C200" s="55">
        <f>4478889+600458</f>
        <v>5079347</v>
      </c>
      <c r="D200" s="55">
        <f>70373+9424</f>
        <v>79797</v>
      </c>
      <c r="E200" s="55">
        <f>628468+84265</f>
        <v>712733</v>
      </c>
      <c r="F200" s="55">
        <v>0</v>
      </c>
      <c r="G200" s="55">
        <f>D200+E200+F200</f>
        <v>792530</v>
      </c>
      <c r="H200" s="63">
        <f>296738+39738</f>
        <v>336476</v>
      </c>
      <c r="I200" s="63">
        <f>2650013+355315</f>
        <v>3005328</v>
      </c>
      <c r="J200" s="63">
        <v>0</v>
      </c>
      <c r="K200" s="63">
        <f>H200+I200+J200</f>
        <v>3341804</v>
      </c>
      <c r="L200" s="63">
        <f>83913+11238</f>
        <v>95151</v>
      </c>
      <c r="M200" s="63">
        <f>749384+100478</f>
        <v>849862</v>
      </c>
      <c r="N200" s="63">
        <v>0</v>
      </c>
      <c r="O200" s="63">
        <f>L200+M200+N200</f>
        <v>945013</v>
      </c>
      <c r="R200" s="62">
        <f>G200+K200+O200</f>
        <v>5079347</v>
      </c>
      <c r="S200" s="62">
        <f>R200-C200</f>
        <v>0</v>
      </c>
      <c r="V200" s="62">
        <f>D200+H200+L200</f>
        <v>511424</v>
      </c>
      <c r="W200" s="62">
        <f t="shared" ref="W200:X200" si="65">E200+I200+M200</f>
        <v>4567923</v>
      </c>
      <c r="X200" s="62">
        <f t="shared" si="65"/>
        <v>0</v>
      </c>
      <c r="Y200" s="62">
        <f>V200+W200+X200</f>
        <v>5079347</v>
      </c>
      <c r="Z200" s="62">
        <f>Y200-C200</f>
        <v>0</v>
      </c>
      <c r="AC200" s="98">
        <f>'[1]Свод по видам помощи'!D190+'дополн сумма к расх с 01.07.13'!X7</f>
        <v>511424</v>
      </c>
      <c r="AD200" s="98">
        <f>'[1]Свод по видам помощи'!E190+'дополн сумма к расх с 01.07.13'!Y7</f>
        <v>4567923</v>
      </c>
      <c r="AE200" s="98">
        <f>'[1]Свод по видам помощи'!F190+'дополн сумма к расх с 01.07.13'!Z7</f>
        <v>0</v>
      </c>
      <c r="AF200" s="98">
        <f>AC200+AD200+AE200</f>
        <v>5079347</v>
      </c>
      <c r="AG200" s="94"/>
      <c r="AH200" s="98">
        <f>AF200-Y200</f>
        <v>0</v>
      </c>
    </row>
    <row r="201" spans="1:34" ht="40.5" hidden="1" customHeight="1" x14ac:dyDescent="0.25">
      <c r="A201" s="56" t="s">
        <v>24</v>
      </c>
      <c r="B201" s="54" t="s">
        <v>14</v>
      </c>
      <c r="C201" s="55">
        <v>272064</v>
      </c>
      <c r="D201" s="55">
        <v>28690</v>
      </c>
      <c r="E201" s="55">
        <v>26830</v>
      </c>
      <c r="F201" s="55">
        <v>857</v>
      </c>
      <c r="G201" s="55">
        <f t="shared" ref="G201:G217" si="66">D201+E201+F201</f>
        <v>56377</v>
      </c>
      <c r="H201" s="63">
        <v>84315</v>
      </c>
      <c r="I201" s="63">
        <v>78848</v>
      </c>
      <c r="J201" s="63">
        <v>2518</v>
      </c>
      <c r="K201" s="63">
        <f t="shared" ref="K201:K217" si="67">H201+I201+J201</f>
        <v>165681</v>
      </c>
      <c r="L201" s="63">
        <v>25448</v>
      </c>
      <c r="M201" s="63">
        <v>23798</v>
      </c>
      <c r="N201" s="63">
        <v>760</v>
      </c>
      <c r="O201" s="63">
        <f t="shared" ref="O201:O217" si="68">L201+M201+N201</f>
        <v>50006</v>
      </c>
      <c r="R201" s="62">
        <f t="shared" ref="R201:R217" si="69">G201+K201+O201</f>
        <v>272064</v>
      </c>
      <c r="S201" s="62">
        <f t="shared" ref="S201:S218" si="70">R201-C201</f>
        <v>0</v>
      </c>
      <c r="V201" s="62">
        <f t="shared" ref="V201:V218" si="71">D201+H201+L201</f>
        <v>138453</v>
      </c>
      <c r="W201" s="62">
        <f t="shared" ref="W201:W218" si="72">E201+I201+M201</f>
        <v>129476</v>
      </c>
      <c r="X201" s="62">
        <f t="shared" ref="X201:X218" si="73">F201+J201+N201</f>
        <v>4135</v>
      </c>
      <c r="Y201" s="62">
        <f t="shared" ref="Y201:Y218" si="74">V201+W201+X201</f>
        <v>272064</v>
      </c>
      <c r="Z201" s="62">
        <f t="shared" ref="Z201:Z218" si="75">Y201-C201</f>
        <v>0</v>
      </c>
      <c r="AF201" s="98">
        <f t="shared" ref="AF201:AF217" si="76">AC201+AD201+AE201</f>
        <v>0</v>
      </c>
      <c r="AH201" s="98">
        <f t="shared" ref="AH201:AH217" si="77">AF201-Y201</f>
        <v>-272064</v>
      </c>
    </row>
    <row r="202" spans="1:34" ht="34.5" customHeight="1" x14ac:dyDescent="0.25">
      <c r="A202" s="56" t="s">
        <v>24</v>
      </c>
      <c r="B202" s="54" t="s">
        <v>13</v>
      </c>
      <c r="C202" s="55">
        <f>852858+29661</f>
        <v>882519</v>
      </c>
      <c r="D202" s="55">
        <v>0</v>
      </c>
      <c r="E202" s="55">
        <f>48340+1681</f>
        <v>50021</v>
      </c>
      <c r="F202" s="55">
        <v>0</v>
      </c>
      <c r="G202" s="55">
        <f t="shared" si="66"/>
        <v>50021</v>
      </c>
      <c r="H202" s="63">
        <v>0</v>
      </c>
      <c r="I202" s="63">
        <f>716529+24920</f>
        <v>741449</v>
      </c>
      <c r="J202" s="63">
        <v>0</v>
      </c>
      <c r="K202" s="63">
        <f t="shared" si="67"/>
        <v>741449</v>
      </c>
      <c r="L202" s="63">
        <v>0</v>
      </c>
      <c r="M202" s="63">
        <f>87989+3060</f>
        <v>91049</v>
      </c>
      <c r="N202" s="63">
        <v>0</v>
      </c>
      <c r="O202" s="63">
        <f t="shared" si="68"/>
        <v>91049</v>
      </c>
      <c r="R202" s="62">
        <f t="shared" si="69"/>
        <v>882519</v>
      </c>
      <c r="S202" s="62">
        <f t="shared" si="70"/>
        <v>0</v>
      </c>
      <c r="V202" s="62">
        <f t="shared" si="71"/>
        <v>0</v>
      </c>
      <c r="W202" s="62">
        <f t="shared" si="72"/>
        <v>882519</v>
      </c>
      <c r="X202" s="62">
        <f t="shared" si="73"/>
        <v>0</v>
      </c>
      <c r="Y202" s="62">
        <f t="shared" si="74"/>
        <v>882519</v>
      </c>
      <c r="Z202" s="62">
        <f t="shared" si="75"/>
        <v>0</v>
      </c>
      <c r="AC202" s="99">
        <f>'[1]Свод по видам помощи'!D192+'дополн сумма к расх с 01.07.13'!X8</f>
        <v>0</v>
      </c>
      <c r="AD202" s="99">
        <f>'[1]Свод по видам помощи'!E192+'дополн сумма к расх с 01.07.13'!Y8</f>
        <v>882519</v>
      </c>
      <c r="AE202" s="99">
        <f>'[1]Свод по видам помощи'!F192+'дополн сумма к расх с 01.07.13'!Z8</f>
        <v>0</v>
      </c>
      <c r="AF202" s="98">
        <f t="shared" si="76"/>
        <v>882519</v>
      </c>
      <c r="AH202" s="98">
        <f t="shared" si="77"/>
        <v>0</v>
      </c>
    </row>
    <row r="203" spans="1:34" ht="40.5" hidden="1" customHeight="1" x14ac:dyDescent="0.25">
      <c r="A203" s="56" t="s">
        <v>22</v>
      </c>
      <c r="B203" s="54" t="s">
        <v>12</v>
      </c>
      <c r="C203" s="55">
        <v>229433</v>
      </c>
      <c r="D203" s="55">
        <v>26392</v>
      </c>
      <c r="E203" s="55">
        <v>0</v>
      </c>
      <c r="F203" s="55">
        <v>0</v>
      </c>
      <c r="G203" s="55">
        <f t="shared" si="66"/>
        <v>26392</v>
      </c>
      <c r="H203" s="63">
        <v>171643</v>
      </c>
      <c r="I203" s="63">
        <v>0</v>
      </c>
      <c r="J203" s="63">
        <v>0</v>
      </c>
      <c r="K203" s="63">
        <f t="shared" si="67"/>
        <v>171643</v>
      </c>
      <c r="L203" s="63">
        <v>31398</v>
      </c>
      <c r="M203" s="63">
        <v>0</v>
      </c>
      <c r="N203" s="63">
        <v>0</v>
      </c>
      <c r="O203" s="63">
        <f t="shared" si="68"/>
        <v>31398</v>
      </c>
      <c r="R203" s="62">
        <f t="shared" si="69"/>
        <v>229433</v>
      </c>
      <c r="S203" s="62">
        <f t="shared" si="70"/>
        <v>0</v>
      </c>
      <c r="V203" s="62">
        <f t="shared" si="71"/>
        <v>229433</v>
      </c>
      <c r="W203" s="62">
        <f t="shared" si="72"/>
        <v>0</v>
      </c>
      <c r="X203" s="62">
        <f t="shared" si="73"/>
        <v>0</v>
      </c>
      <c r="Y203" s="62">
        <f t="shared" si="74"/>
        <v>229433</v>
      </c>
      <c r="Z203" s="62">
        <f t="shared" si="75"/>
        <v>0</v>
      </c>
      <c r="AF203" s="98">
        <f t="shared" si="76"/>
        <v>0</v>
      </c>
      <c r="AH203" s="98">
        <f t="shared" si="77"/>
        <v>-229433</v>
      </c>
    </row>
    <row r="204" spans="1:34" ht="39.75" customHeight="1" x14ac:dyDescent="0.25">
      <c r="A204" s="56" t="s">
        <v>23</v>
      </c>
      <c r="B204" s="54" t="s">
        <v>11</v>
      </c>
      <c r="C204" s="55">
        <f>119722+31609</f>
        <v>151331</v>
      </c>
      <c r="D204" s="55">
        <f>4720+1247</f>
        <v>5967</v>
      </c>
      <c r="E204" s="55">
        <f>7427+1960</f>
        <v>9387</v>
      </c>
      <c r="F204" s="55">
        <f>3159+834</f>
        <v>3993</v>
      </c>
      <c r="G204" s="55">
        <f t="shared" si="66"/>
        <v>19347</v>
      </c>
      <c r="H204" s="63">
        <f>25041+6614</f>
        <v>31655</v>
      </c>
      <c r="I204" s="63">
        <f>39397+10399</f>
        <v>49796</v>
      </c>
      <c r="J204" s="63">
        <f>16759+4425</f>
        <v>21184</v>
      </c>
      <c r="K204" s="63">
        <f t="shared" si="67"/>
        <v>102635</v>
      </c>
      <c r="L204" s="63">
        <f>7161+1891</f>
        <v>9052</v>
      </c>
      <c r="M204" s="63">
        <f>11266+2974</f>
        <v>14240</v>
      </c>
      <c r="N204" s="63">
        <f>4792+1265</f>
        <v>6057</v>
      </c>
      <c r="O204" s="63">
        <f t="shared" si="68"/>
        <v>29349</v>
      </c>
      <c r="R204" s="62">
        <f t="shared" si="69"/>
        <v>151331</v>
      </c>
      <c r="S204" s="62">
        <f t="shared" si="70"/>
        <v>0</v>
      </c>
      <c r="V204" s="62">
        <f t="shared" si="71"/>
        <v>46674</v>
      </c>
      <c r="W204" s="62">
        <f t="shared" si="72"/>
        <v>73423</v>
      </c>
      <c r="X204" s="62">
        <f t="shared" si="73"/>
        <v>31234</v>
      </c>
      <c r="Y204" s="62">
        <f t="shared" si="74"/>
        <v>151331</v>
      </c>
      <c r="Z204" s="62">
        <f t="shared" si="75"/>
        <v>0</v>
      </c>
      <c r="AC204" s="99">
        <f>'[1]Свод по видам помощи'!D194+'дополн сумма к расх с 01.07.13'!X9</f>
        <v>46674</v>
      </c>
      <c r="AD204" s="99">
        <f>'[1]Свод по видам помощи'!E194+'дополн сумма к расх с 01.07.13'!Y9</f>
        <v>73423</v>
      </c>
      <c r="AE204" s="99">
        <f>'[1]Свод по видам помощи'!F194+'дополн сумма к расх с 01.07.13'!Z9</f>
        <v>31234</v>
      </c>
      <c r="AF204" s="98">
        <f t="shared" si="76"/>
        <v>151331</v>
      </c>
      <c r="AH204" s="98">
        <f t="shared" si="77"/>
        <v>0</v>
      </c>
    </row>
    <row r="205" spans="1:34" ht="28.5" hidden="1" customHeight="1" x14ac:dyDescent="0.25">
      <c r="A205" s="56" t="s">
        <v>20</v>
      </c>
      <c r="B205" s="54" t="s">
        <v>34</v>
      </c>
      <c r="C205" s="55">
        <v>190156</v>
      </c>
      <c r="D205" s="55">
        <v>35593</v>
      </c>
      <c r="E205" s="55">
        <v>0</v>
      </c>
      <c r="F205" s="55">
        <v>0</v>
      </c>
      <c r="G205" s="55">
        <f t="shared" si="66"/>
        <v>35593</v>
      </c>
      <c r="H205" s="63">
        <v>116180</v>
      </c>
      <c r="I205" s="63">
        <v>0</v>
      </c>
      <c r="J205" s="63">
        <v>0</v>
      </c>
      <c r="K205" s="63">
        <f t="shared" si="67"/>
        <v>116180</v>
      </c>
      <c r="L205" s="63">
        <v>38383</v>
      </c>
      <c r="M205" s="63">
        <v>0</v>
      </c>
      <c r="N205" s="63">
        <v>0</v>
      </c>
      <c r="O205" s="63">
        <f t="shared" si="68"/>
        <v>38383</v>
      </c>
      <c r="R205" s="62">
        <f t="shared" si="69"/>
        <v>190156</v>
      </c>
      <c r="S205" s="62">
        <f t="shared" si="70"/>
        <v>0</v>
      </c>
      <c r="V205" s="62">
        <f t="shared" si="71"/>
        <v>190156</v>
      </c>
      <c r="W205" s="62">
        <f t="shared" si="72"/>
        <v>0</v>
      </c>
      <c r="X205" s="62">
        <f t="shared" si="73"/>
        <v>0</v>
      </c>
      <c r="Y205" s="62">
        <f t="shared" si="74"/>
        <v>190156</v>
      </c>
      <c r="Z205" s="62">
        <f t="shared" si="75"/>
        <v>0</v>
      </c>
      <c r="AF205" s="98">
        <f t="shared" si="76"/>
        <v>0</v>
      </c>
      <c r="AH205" s="98">
        <f t="shared" si="77"/>
        <v>-190156</v>
      </c>
    </row>
    <row r="206" spans="1:34" ht="34.5" customHeight="1" x14ac:dyDescent="0.25">
      <c r="A206" s="56" t="s">
        <v>22</v>
      </c>
      <c r="B206" s="54" t="s">
        <v>10</v>
      </c>
      <c r="C206" s="55">
        <f>924291+6368</f>
        <v>930659</v>
      </c>
      <c r="D206" s="55">
        <f>20071+138</f>
        <v>20209</v>
      </c>
      <c r="E206" s="55">
        <f>26251+181</f>
        <v>26432</v>
      </c>
      <c r="F206" s="55">
        <f>1251+9</f>
        <v>1260</v>
      </c>
      <c r="G206" s="55">
        <f t="shared" si="66"/>
        <v>47901</v>
      </c>
      <c r="H206" s="63">
        <f>312170+2150</f>
        <v>314320</v>
      </c>
      <c r="I206" s="63">
        <f>408284+2813</f>
        <v>411097</v>
      </c>
      <c r="J206" s="63">
        <f>19460+134</f>
        <v>19594</v>
      </c>
      <c r="K206" s="63">
        <f t="shared" si="67"/>
        <v>745011</v>
      </c>
      <c r="L206" s="63">
        <f>57718+398</f>
        <v>58116</v>
      </c>
      <c r="M206" s="63">
        <f>75489+520</f>
        <v>76009</v>
      </c>
      <c r="N206" s="63">
        <f>3597+25</f>
        <v>3622</v>
      </c>
      <c r="O206" s="63">
        <f t="shared" si="68"/>
        <v>137747</v>
      </c>
      <c r="R206" s="62">
        <f>G206+K206+O206</f>
        <v>930659</v>
      </c>
      <c r="S206" s="62">
        <f t="shared" si="70"/>
        <v>0</v>
      </c>
      <c r="V206" s="62">
        <f t="shared" si="71"/>
        <v>392645</v>
      </c>
      <c r="W206" s="62">
        <f t="shared" si="72"/>
        <v>513538</v>
      </c>
      <c r="X206" s="62">
        <f t="shared" si="73"/>
        <v>24476</v>
      </c>
      <c r="Y206" s="62">
        <f t="shared" si="74"/>
        <v>930659</v>
      </c>
      <c r="Z206" s="62">
        <f t="shared" si="75"/>
        <v>0</v>
      </c>
      <c r="AC206" s="99">
        <f>'[1]Свод по видам помощи'!D196+'дополн сумма к расх с 01.07.13'!X10</f>
        <v>392645</v>
      </c>
      <c r="AD206" s="99">
        <f>'[1]Свод по видам помощи'!E196+'дополн сумма к расх с 01.07.13'!Y10</f>
        <v>513538</v>
      </c>
      <c r="AE206" s="99">
        <f>'[1]Свод по видам помощи'!F196+'дополн сумма к расх с 01.07.13'!Z10</f>
        <v>24476</v>
      </c>
      <c r="AF206" s="98">
        <f t="shared" si="76"/>
        <v>930659</v>
      </c>
      <c r="AH206" s="98">
        <f t="shared" si="77"/>
        <v>0</v>
      </c>
    </row>
    <row r="207" spans="1:34" ht="25.5" customHeight="1" x14ac:dyDescent="0.25">
      <c r="A207" s="56" t="s">
        <v>21</v>
      </c>
      <c r="B207" s="54" t="s">
        <v>9</v>
      </c>
      <c r="C207" s="55">
        <f>494636+235839</f>
        <v>730475</v>
      </c>
      <c r="D207" s="55">
        <f>30047+14880</f>
        <v>44927</v>
      </c>
      <c r="E207" s="55">
        <f>89091+41925</f>
        <v>131016</v>
      </c>
      <c r="F207" s="55">
        <v>0</v>
      </c>
      <c r="G207" s="55">
        <f t="shared" si="66"/>
        <v>175943</v>
      </c>
      <c r="H207" s="63">
        <f>93885+46493</f>
        <v>140378</v>
      </c>
      <c r="I207" s="63">
        <f>278378+130999</f>
        <v>409377</v>
      </c>
      <c r="J207" s="63">
        <v>0</v>
      </c>
      <c r="K207" s="63">
        <f t="shared" si="67"/>
        <v>549755</v>
      </c>
      <c r="L207" s="63">
        <f>816+404</f>
        <v>1220</v>
      </c>
      <c r="M207" s="63">
        <f>2419+1138</f>
        <v>3557</v>
      </c>
      <c r="N207" s="63">
        <v>0</v>
      </c>
      <c r="O207" s="63">
        <f t="shared" si="68"/>
        <v>4777</v>
      </c>
      <c r="R207" s="62">
        <f t="shared" si="69"/>
        <v>730475</v>
      </c>
      <c r="S207" s="62">
        <f t="shared" si="70"/>
        <v>0</v>
      </c>
      <c r="V207" s="62">
        <f t="shared" si="71"/>
        <v>186525</v>
      </c>
      <c r="W207" s="62">
        <f t="shared" si="72"/>
        <v>543950</v>
      </c>
      <c r="X207" s="62">
        <f t="shared" si="73"/>
        <v>0</v>
      </c>
      <c r="Y207" s="62">
        <f t="shared" si="74"/>
        <v>730475</v>
      </c>
      <c r="Z207" s="62">
        <f t="shared" si="75"/>
        <v>0</v>
      </c>
      <c r="AC207" s="99">
        <f>'[1]Свод по видам помощи'!D197+'дополн сумма к расх с 01.07.13'!X11</f>
        <v>186525</v>
      </c>
      <c r="AD207" s="99">
        <f>'[1]Свод по видам помощи'!E197+'дополн сумма к расх с 01.07.13'!Y11</f>
        <v>543950</v>
      </c>
      <c r="AE207" s="99">
        <f>'[1]Свод по видам помощи'!F197+'дополн сумма к расх с 01.07.13'!Z11</f>
        <v>0</v>
      </c>
      <c r="AF207" s="98">
        <f t="shared" si="76"/>
        <v>730475</v>
      </c>
      <c r="AH207" s="98">
        <f t="shared" si="77"/>
        <v>0</v>
      </c>
    </row>
    <row r="208" spans="1:34" ht="25.5" hidden="1" customHeight="1" x14ac:dyDescent="0.25">
      <c r="A208" s="56" t="s">
        <v>20</v>
      </c>
      <c r="B208" s="54" t="s">
        <v>8</v>
      </c>
      <c r="C208" s="55">
        <v>945273</v>
      </c>
      <c r="D208" s="55">
        <v>5698</v>
      </c>
      <c r="E208" s="55">
        <v>31640</v>
      </c>
      <c r="F208" s="55">
        <v>0</v>
      </c>
      <c r="G208" s="55">
        <f t="shared" si="66"/>
        <v>37338</v>
      </c>
      <c r="H208" s="63">
        <v>92475</v>
      </c>
      <c r="I208" s="63">
        <v>513521</v>
      </c>
      <c r="J208" s="63">
        <v>0</v>
      </c>
      <c r="K208" s="63">
        <f t="shared" si="67"/>
        <v>605996</v>
      </c>
      <c r="L208" s="63">
        <v>46076</v>
      </c>
      <c r="M208" s="63">
        <v>255863</v>
      </c>
      <c r="N208" s="63">
        <v>0</v>
      </c>
      <c r="O208" s="63">
        <f t="shared" si="68"/>
        <v>301939</v>
      </c>
      <c r="R208" s="62">
        <f t="shared" si="69"/>
        <v>945273</v>
      </c>
      <c r="S208" s="62">
        <f t="shared" si="70"/>
        <v>0</v>
      </c>
      <c r="V208" s="62">
        <f t="shared" si="71"/>
        <v>144249</v>
      </c>
      <c r="W208" s="62">
        <f t="shared" si="72"/>
        <v>801024</v>
      </c>
      <c r="X208" s="62">
        <f t="shared" si="73"/>
        <v>0</v>
      </c>
      <c r="Y208" s="62">
        <f t="shared" si="74"/>
        <v>945273</v>
      </c>
      <c r="Z208" s="62">
        <f t="shared" si="75"/>
        <v>0</v>
      </c>
      <c r="AF208" s="98">
        <f t="shared" si="76"/>
        <v>0</v>
      </c>
      <c r="AH208" s="98">
        <f t="shared" si="77"/>
        <v>-945273</v>
      </c>
    </row>
    <row r="209" spans="1:34" ht="25.5" hidden="1" customHeight="1" x14ac:dyDescent="0.25">
      <c r="A209" s="56" t="s">
        <v>26</v>
      </c>
      <c r="B209" s="54" t="s">
        <v>7</v>
      </c>
      <c r="C209" s="55">
        <v>463878</v>
      </c>
      <c r="D209" s="55">
        <v>1152</v>
      </c>
      <c r="E209" s="55">
        <v>7323</v>
      </c>
      <c r="F209" s="55">
        <v>0</v>
      </c>
      <c r="G209" s="55">
        <f t="shared" si="66"/>
        <v>8475</v>
      </c>
      <c r="H209" s="63">
        <v>56269</v>
      </c>
      <c r="I209" s="63">
        <v>357779</v>
      </c>
      <c r="J209" s="63">
        <v>0</v>
      </c>
      <c r="K209" s="63">
        <f t="shared" si="67"/>
        <v>414048</v>
      </c>
      <c r="L209" s="63">
        <v>5620</v>
      </c>
      <c r="M209" s="63">
        <v>35735</v>
      </c>
      <c r="N209" s="63">
        <v>0</v>
      </c>
      <c r="O209" s="63">
        <f t="shared" si="68"/>
        <v>41355</v>
      </c>
      <c r="R209" s="62">
        <f t="shared" si="69"/>
        <v>463878</v>
      </c>
      <c r="S209" s="62">
        <f t="shared" si="70"/>
        <v>0</v>
      </c>
      <c r="V209" s="62">
        <f t="shared" si="71"/>
        <v>63041</v>
      </c>
      <c r="W209" s="62">
        <f t="shared" si="72"/>
        <v>400837</v>
      </c>
      <c r="X209" s="62">
        <f t="shared" si="73"/>
        <v>0</v>
      </c>
      <c r="Y209" s="62">
        <f t="shared" si="74"/>
        <v>463878</v>
      </c>
      <c r="Z209" s="62">
        <f t="shared" si="75"/>
        <v>0</v>
      </c>
      <c r="AF209" s="98">
        <f t="shared" si="76"/>
        <v>0</v>
      </c>
      <c r="AH209" s="98">
        <f t="shared" si="77"/>
        <v>-463878</v>
      </c>
    </row>
    <row r="210" spans="1:34" ht="25.5" customHeight="1" x14ac:dyDescent="0.25">
      <c r="A210" s="56" t="s">
        <v>20</v>
      </c>
      <c r="B210" s="54" t="s">
        <v>6</v>
      </c>
      <c r="C210" s="55">
        <v>960424</v>
      </c>
      <c r="D210" s="55">
        <v>3541</v>
      </c>
      <c r="E210" s="55">
        <v>3085</v>
      </c>
      <c r="F210" s="55">
        <v>69</v>
      </c>
      <c r="G210" s="55">
        <f>D210+E210+F210</f>
        <v>6695</v>
      </c>
      <c r="H210" s="63">
        <v>503848</v>
      </c>
      <c r="I210" s="63">
        <v>438740</v>
      </c>
      <c r="J210" s="63">
        <v>9701</v>
      </c>
      <c r="K210" s="63">
        <f t="shared" si="67"/>
        <v>952289</v>
      </c>
      <c r="L210" s="63">
        <v>762</v>
      </c>
      <c r="M210" s="63">
        <v>664</v>
      </c>
      <c r="N210" s="63">
        <v>14</v>
      </c>
      <c r="O210" s="63">
        <f t="shared" si="68"/>
        <v>1440</v>
      </c>
      <c r="R210" s="62">
        <f t="shared" si="69"/>
        <v>960424</v>
      </c>
      <c r="S210" s="62">
        <f t="shared" si="70"/>
        <v>0</v>
      </c>
      <c r="V210" s="62">
        <f t="shared" si="71"/>
        <v>508151</v>
      </c>
      <c r="W210" s="62">
        <f t="shared" si="72"/>
        <v>442489</v>
      </c>
      <c r="X210" s="62">
        <f t="shared" si="73"/>
        <v>9784</v>
      </c>
      <c r="Y210" s="62">
        <f t="shared" si="74"/>
        <v>960424</v>
      </c>
      <c r="Z210" s="62">
        <f t="shared" si="75"/>
        <v>0</v>
      </c>
      <c r="AC210" s="99">
        <f>'[1]Свод по видам помощи'!D200+'дополн сумма к расх с 01.07.13'!X12</f>
        <v>367994</v>
      </c>
      <c r="AD210" s="99">
        <f>'[1]Свод по видам помощи'!E200+'дополн сумма к расх с 01.07.13'!Y12</f>
        <v>328345</v>
      </c>
      <c r="AE210" s="99">
        <f>'[1]Свод по видам помощи'!F200+'дополн сумма к расх с 01.07.13'!Z12</f>
        <v>6252</v>
      </c>
      <c r="AF210" s="98">
        <f t="shared" si="76"/>
        <v>702591</v>
      </c>
      <c r="AH210" s="98">
        <f t="shared" si="77"/>
        <v>-257833</v>
      </c>
    </row>
    <row r="211" spans="1:34" ht="25.5" customHeight="1" x14ac:dyDescent="0.25">
      <c r="A211" s="56" t="s">
        <v>19</v>
      </c>
      <c r="B211" s="54" t="s">
        <v>5</v>
      </c>
      <c r="C211" s="55">
        <f>369890+467408</f>
        <v>837298</v>
      </c>
      <c r="D211" s="55">
        <f>11924+18567</f>
        <v>30491</v>
      </c>
      <c r="E211" s="55">
        <f>37188+43918</f>
        <v>81106</v>
      </c>
      <c r="F211" s="55">
        <f>2062+2181</f>
        <v>4243</v>
      </c>
      <c r="G211" s="55">
        <f t="shared" si="66"/>
        <v>115840</v>
      </c>
      <c r="H211" s="63">
        <f>73538+114508</f>
        <v>188046</v>
      </c>
      <c r="I211" s="63">
        <f>229355+270859</f>
        <v>500214</v>
      </c>
      <c r="J211" s="63">
        <f>12719+13453</f>
        <v>26172</v>
      </c>
      <c r="K211" s="63">
        <f t="shared" si="67"/>
        <v>714432</v>
      </c>
      <c r="L211" s="63">
        <f>723+1126</f>
        <v>1849</v>
      </c>
      <c r="M211" s="63">
        <f>2255+2663</f>
        <v>4918</v>
      </c>
      <c r="N211" s="63">
        <f>126+133</f>
        <v>259</v>
      </c>
      <c r="O211" s="63">
        <f t="shared" si="68"/>
        <v>7026</v>
      </c>
      <c r="R211" s="62">
        <f>G211+K211+O211</f>
        <v>837298</v>
      </c>
      <c r="S211" s="62">
        <f>R211-C211</f>
        <v>0</v>
      </c>
      <c r="V211" s="62">
        <f t="shared" si="71"/>
        <v>220386</v>
      </c>
      <c r="W211" s="62">
        <f t="shared" si="72"/>
        <v>586238</v>
      </c>
      <c r="X211" s="62">
        <f t="shared" si="73"/>
        <v>30674</v>
      </c>
      <c r="Y211" s="62">
        <f t="shared" si="74"/>
        <v>837298</v>
      </c>
      <c r="Z211" s="62">
        <f t="shared" si="75"/>
        <v>0</v>
      </c>
      <c r="AC211" s="99">
        <f>'[1]Свод по видам помощи'!D201+'дополн сумма к расх с 01.07.13'!X13</f>
        <v>220386</v>
      </c>
      <c r="AD211" s="99">
        <f>'[1]Свод по видам помощи'!E201+'дополн сумма к расх с 01.07.13'!Y13</f>
        <v>586238</v>
      </c>
      <c r="AE211" s="99">
        <f>'[1]Свод по видам помощи'!F201+'дополн сумма к расх с 01.07.13'!Z13</f>
        <v>30674</v>
      </c>
      <c r="AF211" s="98">
        <f t="shared" si="76"/>
        <v>837298</v>
      </c>
      <c r="AH211" s="98">
        <f t="shared" si="77"/>
        <v>0</v>
      </c>
    </row>
    <row r="212" spans="1:34" ht="25.5" customHeight="1" x14ac:dyDescent="0.25">
      <c r="A212" s="56" t="s">
        <v>18</v>
      </c>
      <c r="B212" s="54" t="s">
        <v>4</v>
      </c>
      <c r="C212" s="55">
        <f>306503+440297</f>
        <v>746800</v>
      </c>
      <c r="D212" s="55">
        <f>5943+8538</f>
        <v>14481</v>
      </c>
      <c r="E212" s="55">
        <f>10016+14388</f>
        <v>24404</v>
      </c>
      <c r="F212" s="55">
        <f>414+595</f>
        <v>1009</v>
      </c>
      <c r="G212" s="55">
        <f t="shared" si="66"/>
        <v>39894</v>
      </c>
      <c r="H212" s="63">
        <f>101838+146290</f>
        <v>248128</v>
      </c>
      <c r="I212" s="63">
        <f>171610+246526</f>
        <v>418136</v>
      </c>
      <c r="J212" s="63">
        <f>7098+10193</f>
        <v>17291</v>
      </c>
      <c r="K212" s="63">
        <f t="shared" si="67"/>
        <v>683555</v>
      </c>
      <c r="L212" s="63">
        <f>3479+4997</f>
        <v>8476</v>
      </c>
      <c r="M212" s="63">
        <f>5863+8422</f>
        <v>14285</v>
      </c>
      <c r="N212" s="63">
        <f>242+348</f>
        <v>590</v>
      </c>
      <c r="O212" s="63">
        <f t="shared" si="68"/>
        <v>23351</v>
      </c>
      <c r="R212" s="62">
        <f t="shared" si="69"/>
        <v>746800</v>
      </c>
      <c r="S212" s="62">
        <f t="shared" si="70"/>
        <v>0</v>
      </c>
      <c r="V212" s="62">
        <f t="shared" si="71"/>
        <v>271085</v>
      </c>
      <c r="W212" s="62">
        <f t="shared" si="72"/>
        <v>456825</v>
      </c>
      <c r="X212" s="62">
        <f t="shared" si="73"/>
        <v>18890</v>
      </c>
      <c r="Y212" s="62">
        <f t="shared" si="74"/>
        <v>746800</v>
      </c>
      <c r="Z212" s="62">
        <f t="shared" si="75"/>
        <v>0</v>
      </c>
      <c r="AC212" s="99">
        <f>'[1]Свод по видам помощи'!D202+'дополн сумма к расх с 01.07.13'!X14</f>
        <v>271085</v>
      </c>
      <c r="AD212" s="99">
        <f>'[1]Свод по видам помощи'!E202+'дополн сумма к расх с 01.07.13'!Y14</f>
        <v>456825</v>
      </c>
      <c r="AE212" s="99">
        <f>'[1]Свод по видам помощи'!F202+'дополн сумма к расх с 01.07.13'!Z14</f>
        <v>18890</v>
      </c>
      <c r="AF212" s="98">
        <f t="shared" si="76"/>
        <v>746800</v>
      </c>
      <c r="AH212" s="98">
        <f t="shared" si="77"/>
        <v>0</v>
      </c>
    </row>
    <row r="213" spans="1:34" ht="25.5" customHeight="1" x14ac:dyDescent="0.25">
      <c r="A213" s="56" t="s">
        <v>25</v>
      </c>
      <c r="B213" s="54" t="s">
        <v>3</v>
      </c>
      <c r="C213" s="55">
        <f>677961+126225</f>
        <v>804186</v>
      </c>
      <c r="D213" s="55">
        <f>32495+6050</f>
        <v>38545</v>
      </c>
      <c r="E213" s="55">
        <f>15998+2978</f>
        <v>18976</v>
      </c>
      <c r="F213" s="55">
        <f>1500+280</f>
        <v>1780</v>
      </c>
      <c r="G213" s="55">
        <f>D213+E213+F213</f>
        <v>59301</v>
      </c>
      <c r="H213" s="63">
        <f>363072+67597</f>
        <v>430669</v>
      </c>
      <c r="I213" s="63">
        <f>178743+33276</f>
        <v>212019</v>
      </c>
      <c r="J213" s="63">
        <f>16757+3124</f>
        <v>19881</v>
      </c>
      <c r="K213" s="63">
        <f t="shared" si="67"/>
        <v>662569</v>
      </c>
      <c r="L213" s="63">
        <f>45107+8398</f>
        <v>53505</v>
      </c>
      <c r="M213" s="63">
        <f>22207+4134</f>
        <v>26341</v>
      </c>
      <c r="N213" s="63">
        <f>2082+388</f>
        <v>2470</v>
      </c>
      <c r="O213" s="63">
        <f t="shared" si="68"/>
        <v>82316</v>
      </c>
      <c r="R213" s="62">
        <f t="shared" si="69"/>
        <v>804186</v>
      </c>
      <c r="S213" s="62">
        <f t="shared" si="70"/>
        <v>0</v>
      </c>
      <c r="V213" s="62">
        <f t="shared" si="71"/>
        <v>522719</v>
      </c>
      <c r="W213" s="62">
        <f t="shared" si="72"/>
        <v>257336</v>
      </c>
      <c r="X213" s="62">
        <f t="shared" si="73"/>
        <v>24131</v>
      </c>
      <c r="Y213" s="62">
        <f t="shared" si="74"/>
        <v>804186</v>
      </c>
      <c r="Z213" s="62">
        <f t="shared" si="75"/>
        <v>0</v>
      </c>
      <c r="AC213" s="99">
        <f>'[1]Свод по видам помощи'!D203+'дополн сумма к расх с 01.07.13'!X15</f>
        <v>522719</v>
      </c>
      <c r="AD213" s="99">
        <f>'[1]Свод по видам помощи'!E203+'дополн сумма к расх с 01.07.13'!Y15</f>
        <v>257336</v>
      </c>
      <c r="AE213" s="99">
        <f>'[1]Свод по видам помощи'!F203+'дополн сумма к расх с 01.07.13'!Z15</f>
        <v>24131</v>
      </c>
      <c r="AF213" s="98">
        <f t="shared" si="76"/>
        <v>804186</v>
      </c>
      <c r="AH213" s="98">
        <f t="shared" si="77"/>
        <v>0</v>
      </c>
    </row>
    <row r="214" spans="1:34" ht="54" hidden="1" customHeight="1" x14ac:dyDescent="0.25">
      <c r="A214" s="56" t="s">
        <v>30</v>
      </c>
      <c r="B214" s="54" t="s">
        <v>2</v>
      </c>
      <c r="C214" s="55">
        <v>39742</v>
      </c>
      <c r="D214" s="55">
        <v>1125</v>
      </c>
      <c r="E214" s="55">
        <v>0</v>
      </c>
      <c r="F214" s="55">
        <v>0</v>
      </c>
      <c r="G214" s="55">
        <f t="shared" si="66"/>
        <v>1125</v>
      </c>
      <c r="H214" s="63">
        <v>33271</v>
      </c>
      <c r="I214" s="63">
        <v>0</v>
      </c>
      <c r="J214" s="63">
        <v>0</v>
      </c>
      <c r="K214" s="63">
        <f t="shared" si="67"/>
        <v>33271</v>
      </c>
      <c r="L214" s="63">
        <v>5346</v>
      </c>
      <c r="M214" s="63">
        <v>0</v>
      </c>
      <c r="N214" s="63">
        <v>0</v>
      </c>
      <c r="O214" s="63">
        <f t="shared" si="68"/>
        <v>5346</v>
      </c>
      <c r="R214" s="62">
        <f t="shared" si="69"/>
        <v>39742</v>
      </c>
      <c r="S214" s="62">
        <f t="shared" si="70"/>
        <v>0</v>
      </c>
      <c r="V214" s="62">
        <f t="shared" si="71"/>
        <v>39742</v>
      </c>
      <c r="W214" s="62">
        <f t="shared" si="72"/>
        <v>0</v>
      </c>
      <c r="X214" s="62">
        <f t="shared" si="73"/>
        <v>0</v>
      </c>
      <c r="Y214" s="62">
        <f t="shared" si="74"/>
        <v>39742</v>
      </c>
      <c r="Z214" s="62">
        <f t="shared" si="75"/>
        <v>0</v>
      </c>
      <c r="AF214" s="98">
        <f t="shared" si="76"/>
        <v>0</v>
      </c>
      <c r="AH214" s="98">
        <f t="shared" si="77"/>
        <v>-39742</v>
      </c>
    </row>
    <row r="215" spans="1:34" ht="39.75" hidden="1" customHeight="1" x14ac:dyDescent="0.25">
      <c r="A215" s="56" t="s">
        <v>31</v>
      </c>
      <c r="B215" s="54" t="s">
        <v>1</v>
      </c>
      <c r="C215" s="55">
        <v>24773</v>
      </c>
      <c r="D215" s="55">
        <v>1843</v>
      </c>
      <c r="E215" s="55">
        <v>0</v>
      </c>
      <c r="F215" s="55">
        <v>0</v>
      </c>
      <c r="G215" s="55">
        <f t="shared" si="66"/>
        <v>1843</v>
      </c>
      <c r="H215" s="63">
        <v>21931</v>
      </c>
      <c r="I215" s="63">
        <v>0</v>
      </c>
      <c r="J215" s="63">
        <v>0</v>
      </c>
      <c r="K215" s="63">
        <f t="shared" si="67"/>
        <v>21931</v>
      </c>
      <c r="L215" s="63">
        <v>999</v>
      </c>
      <c r="M215" s="63">
        <v>0</v>
      </c>
      <c r="N215" s="63">
        <v>0</v>
      </c>
      <c r="O215" s="63">
        <f t="shared" si="68"/>
        <v>999</v>
      </c>
      <c r="R215" s="62">
        <f t="shared" si="69"/>
        <v>24773</v>
      </c>
      <c r="S215" s="62">
        <f t="shared" si="70"/>
        <v>0</v>
      </c>
      <c r="V215" s="62">
        <f t="shared" si="71"/>
        <v>24773</v>
      </c>
      <c r="W215" s="62">
        <f t="shared" si="72"/>
        <v>0</v>
      </c>
      <c r="X215" s="62">
        <f t="shared" si="73"/>
        <v>0</v>
      </c>
      <c r="Y215" s="62">
        <f t="shared" si="74"/>
        <v>24773</v>
      </c>
      <c r="Z215" s="62">
        <f t="shared" si="75"/>
        <v>0</v>
      </c>
      <c r="AF215" s="98">
        <f t="shared" si="76"/>
        <v>0</v>
      </c>
      <c r="AH215" s="98">
        <f t="shared" si="77"/>
        <v>-24773</v>
      </c>
    </row>
    <row r="216" spans="1:34" ht="33" hidden="1" customHeight="1" x14ac:dyDescent="0.25">
      <c r="A216" s="56" t="s">
        <v>32</v>
      </c>
      <c r="B216" s="54" t="s">
        <v>73</v>
      </c>
      <c r="C216" s="55">
        <v>21248</v>
      </c>
      <c r="D216" s="55">
        <v>4180</v>
      </c>
      <c r="E216" s="55">
        <v>0</v>
      </c>
      <c r="F216" s="55">
        <v>0</v>
      </c>
      <c r="G216" s="55">
        <f t="shared" si="66"/>
        <v>4180</v>
      </c>
      <c r="H216" s="63">
        <v>13680</v>
      </c>
      <c r="I216" s="63">
        <v>0</v>
      </c>
      <c r="J216" s="63">
        <v>0</v>
      </c>
      <c r="K216" s="63">
        <f t="shared" si="67"/>
        <v>13680</v>
      </c>
      <c r="L216" s="63">
        <v>3388</v>
      </c>
      <c r="M216" s="63">
        <v>0</v>
      </c>
      <c r="N216" s="63">
        <v>0</v>
      </c>
      <c r="O216" s="63">
        <f t="shared" si="68"/>
        <v>3388</v>
      </c>
      <c r="R216" s="62">
        <f t="shared" si="69"/>
        <v>21248</v>
      </c>
      <c r="S216" s="62">
        <f t="shared" si="70"/>
        <v>0</v>
      </c>
      <c r="V216" s="62">
        <f t="shared" si="71"/>
        <v>21248</v>
      </c>
      <c r="W216" s="62">
        <f t="shared" si="72"/>
        <v>0</v>
      </c>
      <c r="X216" s="62">
        <f t="shared" si="73"/>
        <v>0</v>
      </c>
      <c r="Y216" s="62">
        <f t="shared" si="74"/>
        <v>21248</v>
      </c>
      <c r="Z216" s="62">
        <f t="shared" si="75"/>
        <v>0</v>
      </c>
      <c r="AF216" s="98">
        <f t="shared" si="76"/>
        <v>0</v>
      </c>
      <c r="AH216" s="98">
        <f t="shared" si="77"/>
        <v>-21248</v>
      </c>
    </row>
    <row r="217" spans="1:34" ht="33" hidden="1" customHeight="1" x14ac:dyDescent="0.25">
      <c r="A217" s="56" t="s">
        <v>90</v>
      </c>
      <c r="B217" s="70" t="s">
        <v>91</v>
      </c>
      <c r="C217" s="55">
        <f>E217+I217+M217</f>
        <v>61662</v>
      </c>
      <c r="D217" s="55">
        <v>0</v>
      </c>
      <c r="E217" s="55">
        <v>10436</v>
      </c>
      <c r="F217" s="55">
        <v>0</v>
      </c>
      <c r="G217" s="55">
        <f t="shared" si="66"/>
        <v>10436</v>
      </c>
      <c r="H217" s="63">
        <v>0</v>
      </c>
      <c r="I217" s="63">
        <v>34306</v>
      </c>
      <c r="J217" s="63">
        <v>0</v>
      </c>
      <c r="K217" s="63">
        <f t="shared" si="67"/>
        <v>34306</v>
      </c>
      <c r="L217" s="63">
        <v>0</v>
      </c>
      <c r="M217" s="63">
        <v>16920</v>
      </c>
      <c r="N217" s="63">
        <v>0</v>
      </c>
      <c r="O217" s="63">
        <f t="shared" si="68"/>
        <v>16920</v>
      </c>
      <c r="R217" s="62">
        <f t="shared" si="69"/>
        <v>61662</v>
      </c>
      <c r="S217" s="62">
        <f>R217-C217</f>
        <v>0</v>
      </c>
      <c r="V217" s="62">
        <f t="shared" si="71"/>
        <v>0</v>
      </c>
      <c r="W217" s="62">
        <f t="shared" si="72"/>
        <v>61662</v>
      </c>
      <c r="X217" s="62">
        <f t="shared" si="73"/>
        <v>0</v>
      </c>
      <c r="Y217" s="62">
        <f t="shared" si="74"/>
        <v>61662</v>
      </c>
      <c r="Z217" s="62">
        <f t="shared" si="75"/>
        <v>0</v>
      </c>
      <c r="AF217" s="98">
        <f t="shared" si="76"/>
        <v>0</v>
      </c>
      <c r="AH217" s="98">
        <f t="shared" si="77"/>
        <v>-61662</v>
      </c>
    </row>
    <row r="218" spans="1:34" ht="25.5" customHeight="1" x14ac:dyDescent="0.25">
      <c r="A218" s="57"/>
      <c r="B218" s="57" t="s">
        <v>0</v>
      </c>
      <c r="C218" s="58">
        <f>C200+C202+C204+C206+C207+C210+C211+C212+C213</f>
        <v>11123039</v>
      </c>
      <c r="D218" s="58">
        <f>D200+D202+D204+D206+D207+D210+D211+D212+D213</f>
        <v>237958</v>
      </c>
      <c r="E218" s="58">
        <f>E200+E202+E204+E206+E207+E210+E211+E212+E213</f>
        <v>1057160</v>
      </c>
      <c r="F218" s="58">
        <f t="shared" ref="F218" si="78">F200+F202+F204+F206+F207+F210+F211+F212+F213</f>
        <v>12354</v>
      </c>
      <c r="G218" s="58">
        <f>G200+G202+G204+G206+G207+G210+G211+G212+G213</f>
        <v>1307472</v>
      </c>
      <c r="H218" s="58">
        <f t="shared" ref="H218:O218" si="79">H200+H202+H204+H206+H207+H210+H211+H212+H213</f>
        <v>2193520</v>
      </c>
      <c r="I218" s="58">
        <f t="shared" si="79"/>
        <v>6186156</v>
      </c>
      <c r="J218" s="58">
        <f t="shared" si="79"/>
        <v>113823</v>
      </c>
      <c r="K218" s="58">
        <f t="shared" si="79"/>
        <v>8493499</v>
      </c>
      <c r="L218" s="58">
        <f t="shared" si="79"/>
        <v>228131</v>
      </c>
      <c r="M218" s="58">
        <f t="shared" si="79"/>
        <v>1080925</v>
      </c>
      <c r="N218" s="58">
        <f t="shared" si="79"/>
        <v>13012</v>
      </c>
      <c r="O218" s="58">
        <f t="shared" si="79"/>
        <v>1322068</v>
      </c>
      <c r="R218" s="62">
        <f>G218+K218+O218</f>
        <v>11123039</v>
      </c>
      <c r="S218" s="62">
        <f t="shared" si="70"/>
        <v>0</v>
      </c>
      <c r="V218" s="62">
        <f t="shared" si="71"/>
        <v>2659609</v>
      </c>
      <c r="W218" s="62">
        <f t="shared" si="72"/>
        <v>8324241</v>
      </c>
      <c r="X218" s="62">
        <f t="shared" si="73"/>
        <v>139189</v>
      </c>
      <c r="Y218" s="62">
        <f t="shared" si="74"/>
        <v>11123039</v>
      </c>
      <c r="Z218" s="62">
        <f t="shared" si="75"/>
        <v>0</v>
      </c>
      <c r="AF218" s="98"/>
      <c r="AH218" s="98"/>
    </row>
    <row r="220" spans="1:34" s="4" customFormat="1" ht="28.5" customHeight="1" x14ac:dyDescent="0.25">
      <c r="A220" s="152" t="s">
        <v>17</v>
      </c>
      <c r="B220" s="152" t="s">
        <v>33</v>
      </c>
      <c r="C220" s="152" t="s">
        <v>82</v>
      </c>
      <c r="D220" s="152" t="s">
        <v>69</v>
      </c>
      <c r="E220" s="152"/>
      <c r="F220" s="152"/>
      <c r="G220" s="152"/>
      <c r="H220" s="152"/>
      <c r="I220" s="152"/>
      <c r="J220" s="152"/>
      <c r="K220" s="152"/>
      <c r="L220" s="152"/>
      <c r="M220" s="152"/>
      <c r="N220" s="152"/>
      <c r="O220" s="152"/>
      <c r="R220" s="61"/>
      <c r="S220" s="61"/>
      <c r="V220" s="61"/>
      <c r="W220" s="61"/>
      <c r="X220" s="61"/>
      <c r="Y220" s="61"/>
      <c r="Z220" s="61"/>
      <c r="AC220" s="95"/>
      <c r="AD220" s="95"/>
      <c r="AE220" s="95"/>
      <c r="AF220" s="95"/>
      <c r="AG220" s="93"/>
      <c r="AH220" s="95"/>
    </row>
    <row r="221" spans="1:34" s="4" customFormat="1" ht="41.25" customHeight="1" x14ac:dyDescent="0.25">
      <c r="A221" s="152"/>
      <c r="B221" s="152"/>
      <c r="C221" s="152"/>
      <c r="D221" s="154" t="s">
        <v>36</v>
      </c>
      <c r="E221" s="154"/>
      <c r="F221" s="154"/>
      <c r="G221" s="154"/>
      <c r="H221" s="155" t="s">
        <v>37</v>
      </c>
      <c r="I221" s="156"/>
      <c r="J221" s="156"/>
      <c r="K221" s="157"/>
      <c r="L221" s="155" t="s">
        <v>38</v>
      </c>
      <c r="M221" s="156"/>
      <c r="N221" s="156"/>
      <c r="O221" s="157"/>
      <c r="R221" s="61"/>
      <c r="S221" s="61"/>
      <c r="V221" s="61"/>
      <c r="W221" s="61"/>
      <c r="X221" s="61"/>
      <c r="Y221" s="61"/>
      <c r="Z221" s="61"/>
      <c r="AC221" s="95"/>
      <c r="AD221" s="95"/>
      <c r="AE221" s="95"/>
      <c r="AF221" s="95"/>
      <c r="AG221" s="93"/>
      <c r="AH221" s="95"/>
    </row>
    <row r="222" spans="1:34" s="4" customFormat="1" ht="59.25" customHeight="1" x14ac:dyDescent="0.25">
      <c r="A222" s="152"/>
      <c r="B222" s="152"/>
      <c r="C222" s="152"/>
      <c r="D222" s="59" t="s">
        <v>66</v>
      </c>
      <c r="E222" s="59" t="s">
        <v>67</v>
      </c>
      <c r="F222" s="59" t="s">
        <v>68</v>
      </c>
      <c r="G222" s="59" t="s">
        <v>70</v>
      </c>
      <c r="H222" s="65" t="s">
        <v>66</v>
      </c>
      <c r="I222" s="65" t="s">
        <v>67</v>
      </c>
      <c r="J222" s="65" t="s">
        <v>68</v>
      </c>
      <c r="K222" s="65" t="s">
        <v>71</v>
      </c>
      <c r="L222" s="65" t="s">
        <v>66</v>
      </c>
      <c r="M222" s="65" t="s">
        <v>67</v>
      </c>
      <c r="N222" s="65" t="s">
        <v>68</v>
      </c>
      <c r="O222" s="65" t="s">
        <v>72</v>
      </c>
      <c r="R222" s="61"/>
      <c r="S222" s="61"/>
      <c r="V222" s="61" t="s">
        <v>44</v>
      </c>
      <c r="W222" s="61" t="s">
        <v>96</v>
      </c>
      <c r="X222" s="61" t="s">
        <v>97</v>
      </c>
      <c r="Y222" s="61"/>
      <c r="Z222" s="61"/>
      <c r="AC222" s="95"/>
      <c r="AD222" s="95"/>
      <c r="AE222" s="95"/>
      <c r="AF222" s="95"/>
      <c r="AG222" s="93"/>
      <c r="AH222" s="95"/>
    </row>
    <row r="223" spans="1:34" s="3" customFormat="1" ht="14.25" customHeight="1" x14ac:dyDescent="0.25">
      <c r="A223" s="53">
        <v>1</v>
      </c>
      <c r="B223" s="53">
        <v>2</v>
      </c>
      <c r="C223" s="53">
        <v>3</v>
      </c>
      <c r="D223" s="53">
        <v>4</v>
      </c>
      <c r="E223" s="53">
        <v>5</v>
      </c>
      <c r="F223" s="53">
        <v>6</v>
      </c>
      <c r="G223" s="53">
        <v>7</v>
      </c>
      <c r="H223" s="66">
        <v>8</v>
      </c>
      <c r="I223" s="66">
        <v>9</v>
      </c>
      <c r="J223" s="66">
        <v>10</v>
      </c>
      <c r="K223" s="66">
        <v>11</v>
      </c>
      <c r="L223" s="66">
        <v>12</v>
      </c>
      <c r="M223" s="66">
        <v>13</v>
      </c>
      <c r="N223" s="66">
        <v>14</v>
      </c>
      <c r="O223" s="66">
        <v>15</v>
      </c>
      <c r="R223" s="61"/>
      <c r="S223" s="61"/>
      <c r="V223" s="61"/>
      <c r="W223" s="61"/>
      <c r="X223" s="61"/>
      <c r="Y223" s="61"/>
      <c r="Z223" s="61"/>
      <c r="AC223" s="95"/>
      <c r="AD223" s="95"/>
      <c r="AE223" s="95"/>
      <c r="AF223" s="95"/>
      <c r="AG223" s="94"/>
      <c r="AH223" s="95"/>
    </row>
    <row r="224" spans="1:34" s="3" customFormat="1" ht="25.5" customHeight="1" x14ac:dyDescent="0.25">
      <c r="A224" s="53" t="s">
        <v>16</v>
      </c>
      <c r="B224" s="54" t="s">
        <v>15</v>
      </c>
      <c r="C224" s="55">
        <f>2110471+283039</f>
        <v>2393510</v>
      </c>
      <c r="D224" s="55">
        <f>69580+9328</f>
        <v>78908</v>
      </c>
      <c r="E224" s="55">
        <f>259716+34834</f>
        <v>294550</v>
      </c>
      <c r="F224" s="55">
        <v>0</v>
      </c>
      <c r="G224" s="55">
        <f>D224+E224+F224</f>
        <v>373458</v>
      </c>
      <c r="H224" s="63">
        <f>293395+39334</f>
        <v>332729</v>
      </c>
      <c r="I224" s="63">
        <f>1095127+146884</f>
        <v>1242011</v>
      </c>
      <c r="J224" s="63">
        <v>0</v>
      </c>
      <c r="K224" s="63">
        <f>H224+I224+J224</f>
        <v>1574740</v>
      </c>
      <c r="L224" s="63">
        <f>82968+11123</f>
        <v>94091</v>
      </c>
      <c r="M224" s="63">
        <f>309685+41536</f>
        <v>351221</v>
      </c>
      <c r="N224" s="63">
        <v>0</v>
      </c>
      <c r="O224" s="63">
        <f>L224+M224+N224</f>
        <v>445312</v>
      </c>
      <c r="R224" s="62">
        <f>G224+K224+O224</f>
        <v>2393510</v>
      </c>
      <c r="S224" s="62">
        <f>R224-C224</f>
        <v>0</v>
      </c>
      <c r="V224" s="62">
        <f>D224+H224+L224</f>
        <v>505728</v>
      </c>
      <c r="W224" s="62">
        <f t="shared" ref="W224:W242" si="80">E224+I224+M224</f>
        <v>1887782</v>
      </c>
      <c r="X224" s="62">
        <f t="shared" ref="X224:X242" si="81">F224+J224+N224</f>
        <v>0</v>
      </c>
      <c r="Y224" s="62">
        <f>V224+W224+X224</f>
        <v>2393510</v>
      </c>
      <c r="Z224" s="62">
        <f>Y224-C224</f>
        <v>0</v>
      </c>
      <c r="AC224" s="99">
        <f>'[1]Свод по видам помощи'!D213+'дополн сумма к расх с 01.07.13'!X26</f>
        <v>505728</v>
      </c>
      <c r="AD224" s="99">
        <f>'[1]Свод по видам помощи'!E213+'дополн сумма к расх с 01.07.13'!Y26</f>
        <v>1887782</v>
      </c>
      <c r="AE224" s="99">
        <f>'[1]Свод по видам помощи'!F213+'дополн сумма к расх с 01.07.13'!Z26</f>
        <v>0</v>
      </c>
      <c r="AF224" s="98">
        <f t="shared" ref="AF224" si="82">AC224+AD224+AE224</f>
        <v>2393510</v>
      </c>
      <c r="AG224" s="92"/>
      <c r="AH224" s="98">
        <f t="shared" ref="AH224" si="83">AF224-Y224</f>
        <v>0</v>
      </c>
    </row>
    <row r="225" spans="1:34" ht="40.5" hidden="1" customHeight="1" x14ac:dyDescent="0.25">
      <c r="A225" s="56" t="s">
        <v>24</v>
      </c>
      <c r="B225" s="54" t="s">
        <v>14</v>
      </c>
      <c r="C225" s="55">
        <v>272064</v>
      </c>
      <c r="D225" s="55">
        <v>28657</v>
      </c>
      <c r="E225" s="55">
        <v>26864</v>
      </c>
      <c r="F225" s="55">
        <v>857</v>
      </c>
      <c r="G225" s="55">
        <f t="shared" ref="G225:G241" si="84">D225+E225+F225</f>
        <v>56378</v>
      </c>
      <c r="H225" s="63">
        <v>84216</v>
      </c>
      <c r="I225" s="63">
        <v>78947</v>
      </c>
      <c r="J225" s="63">
        <v>2518</v>
      </c>
      <c r="K225" s="63">
        <f t="shared" ref="K225:K241" si="85">H225+I225+J225</f>
        <v>165681</v>
      </c>
      <c r="L225" s="63">
        <v>25418</v>
      </c>
      <c r="M225" s="63">
        <v>23827</v>
      </c>
      <c r="N225" s="63">
        <v>760</v>
      </c>
      <c r="O225" s="63">
        <f t="shared" ref="O225:O241" si="86">L225+M225+N225</f>
        <v>50005</v>
      </c>
      <c r="R225" s="62">
        <f t="shared" ref="R225:R242" si="87">G225+K225+O225</f>
        <v>272064</v>
      </c>
      <c r="S225" s="62">
        <f t="shared" ref="S225:S242" si="88">R225-C225</f>
        <v>0</v>
      </c>
      <c r="V225" s="62">
        <f t="shared" ref="V225:V242" si="89">D225+H225+L225</f>
        <v>138291</v>
      </c>
      <c r="W225" s="62">
        <f t="shared" si="80"/>
        <v>129638</v>
      </c>
      <c r="X225" s="62">
        <f t="shared" si="81"/>
        <v>4135</v>
      </c>
      <c r="Y225" s="62">
        <f t="shared" ref="Y225:Y242" si="90">V225+W225+X225</f>
        <v>272064</v>
      </c>
      <c r="Z225" s="62">
        <f t="shared" ref="Z225:Z242" si="91">Y225-C225</f>
        <v>0</v>
      </c>
      <c r="AC225" s="99">
        <f>'[1]Свод по видам помощи'!D214+'дополн сумма к расх с 01.07.13'!X27</f>
        <v>138291</v>
      </c>
      <c r="AF225" s="98">
        <f t="shared" ref="AF225:AF237" si="92">AC225+AD225+AE225</f>
        <v>138291</v>
      </c>
      <c r="AH225" s="98">
        <f t="shared" ref="AH225:AH237" si="93">AF225-Y225</f>
        <v>-133773</v>
      </c>
    </row>
    <row r="226" spans="1:34" ht="34.5" customHeight="1" x14ac:dyDescent="0.25">
      <c r="A226" s="56" t="s">
        <v>24</v>
      </c>
      <c r="B226" s="54" t="s">
        <v>13</v>
      </c>
      <c r="C226" s="55">
        <f>632606+21979</f>
        <v>654585</v>
      </c>
      <c r="D226" s="55">
        <v>0</v>
      </c>
      <c r="E226" s="55">
        <f>35856+1246</f>
        <v>37102</v>
      </c>
      <c r="F226" s="55">
        <v>0</v>
      </c>
      <c r="G226" s="55">
        <f t="shared" si="84"/>
        <v>37102</v>
      </c>
      <c r="H226" s="63">
        <v>0</v>
      </c>
      <c r="I226" s="63">
        <f>531484+18466</f>
        <v>549950</v>
      </c>
      <c r="J226" s="63">
        <v>0</v>
      </c>
      <c r="K226" s="63">
        <f t="shared" si="85"/>
        <v>549950</v>
      </c>
      <c r="L226" s="63">
        <v>0</v>
      </c>
      <c r="M226" s="63">
        <f>65266+2267</f>
        <v>67533</v>
      </c>
      <c r="N226" s="63">
        <v>0</v>
      </c>
      <c r="O226" s="63">
        <f t="shared" si="86"/>
        <v>67533</v>
      </c>
      <c r="R226" s="62">
        <f t="shared" si="87"/>
        <v>654585</v>
      </c>
      <c r="S226" s="62">
        <f t="shared" si="88"/>
        <v>0</v>
      </c>
      <c r="V226" s="62">
        <f t="shared" si="89"/>
        <v>0</v>
      </c>
      <c r="W226" s="62">
        <f t="shared" si="80"/>
        <v>654585</v>
      </c>
      <c r="X226" s="62">
        <f t="shared" si="81"/>
        <v>0</v>
      </c>
      <c r="Y226" s="62">
        <f t="shared" si="90"/>
        <v>654585</v>
      </c>
      <c r="Z226" s="62">
        <f t="shared" si="91"/>
        <v>0</v>
      </c>
      <c r="AC226" s="99">
        <f>'[1]Свод по видам помощи'!D215+'дополн сумма к расх с 01.07.13'!X27</f>
        <v>0</v>
      </c>
      <c r="AD226" s="99">
        <f>'[1]Свод по видам помощи'!E215+'дополн сумма к расх с 01.07.13'!Y27</f>
        <v>654585</v>
      </c>
      <c r="AE226" s="99">
        <f>'[1]Свод по видам помощи'!F215+'дополн сумма к расх с 01.07.13'!Z27</f>
        <v>0</v>
      </c>
      <c r="AF226" s="98">
        <f t="shared" si="92"/>
        <v>654585</v>
      </c>
      <c r="AH226" s="98">
        <f t="shared" si="93"/>
        <v>0</v>
      </c>
    </row>
    <row r="227" spans="1:34" ht="40.5" hidden="1" customHeight="1" x14ac:dyDescent="0.25">
      <c r="A227" s="56" t="s">
        <v>22</v>
      </c>
      <c r="B227" s="54" t="s">
        <v>12</v>
      </c>
      <c r="C227" s="55">
        <v>129030</v>
      </c>
      <c r="D227" s="55">
        <v>14842</v>
      </c>
      <c r="E227" s="55">
        <v>0</v>
      </c>
      <c r="F227" s="55">
        <v>0</v>
      </c>
      <c r="G227" s="55">
        <f t="shared" si="84"/>
        <v>14842</v>
      </c>
      <c r="H227" s="63">
        <v>96530</v>
      </c>
      <c r="I227" s="63">
        <v>0</v>
      </c>
      <c r="J227" s="63">
        <v>0</v>
      </c>
      <c r="K227" s="63">
        <f t="shared" si="85"/>
        <v>96530</v>
      </c>
      <c r="L227" s="63">
        <v>17658</v>
      </c>
      <c r="M227" s="63">
        <v>0</v>
      </c>
      <c r="N227" s="63">
        <v>0</v>
      </c>
      <c r="O227" s="63">
        <f t="shared" si="86"/>
        <v>17658</v>
      </c>
      <c r="R227" s="62">
        <f t="shared" si="87"/>
        <v>129030</v>
      </c>
      <c r="S227" s="62">
        <f t="shared" si="88"/>
        <v>0</v>
      </c>
      <c r="V227" s="62">
        <f t="shared" si="89"/>
        <v>129030</v>
      </c>
      <c r="W227" s="62">
        <f t="shared" si="80"/>
        <v>0</v>
      </c>
      <c r="X227" s="62">
        <f t="shared" si="81"/>
        <v>0</v>
      </c>
      <c r="Y227" s="62">
        <f t="shared" si="90"/>
        <v>129030</v>
      </c>
      <c r="Z227" s="62">
        <f t="shared" si="91"/>
        <v>0</v>
      </c>
      <c r="AC227" s="99">
        <f>'[1]Свод по видам помощи'!D216+'дополн сумма к расх с 01.07.13'!X28</f>
        <v>137402</v>
      </c>
      <c r="AF227" s="98">
        <f t="shared" si="92"/>
        <v>137402</v>
      </c>
      <c r="AH227" s="98">
        <f t="shared" si="93"/>
        <v>8372</v>
      </c>
    </row>
    <row r="228" spans="1:34" ht="39.75" customHeight="1" x14ac:dyDescent="0.25">
      <c r="A228" s="56" t="s">
        <v>23</v>
      </c>
      <c r="B228" s="54" t="s">
        <v>11</v>
      </c>
      <c r="C228" s="55">
        <f>102891+27159</f>
        <v>130050</v>
      </c>
      <c r="D228" s="55">
        <f>4054+1070</f>
        <v>5124</v>
      </c>
      <c r="E228" s="55">
        <f>6339+1673</f>
        <v>8012</v>
      </c>
      <c r="F228" s="55">
        <f>2761+729</f>
        <v>3490</v>
      </c>
      <c r="G228" s="55">
        <f t="shared" si="84"/>
        <v>16626</v>
      </c>
      <c r="H228" s="63">
        <f>21507+5678</f>
        <v>27185</v>
      </c>
      <c r="I228" s="63">
        <f>33628+8874</f>
        <v>42502</v>
      </c>
      <c r="J228" s="63">
        <f>14647+3867</f>
        <v>18514</v>
      </c>
      <c r="K228" s="63">
        <f t="shared" si="85"/>
        <v>88201</v>
      </c>
      <c r="L228" s="63">
        <f>6150+1624</f>
        <v>7774</v>
      </c>
      <c r="M228" s="63">
        <f>9616+2538</f>
        <v>12154</v>
      </c>
      <c r="N228" s="63">
        <f>4189+1106</f>
        <v>5295</v>
      </c>
      <c r="O228" s="63">
        <f t="shared" si="86"/>
        <v>25223</v>
      </c>
      <c r="R228" s="62">
        <f t="shared" si="87"/>
        <v>130050</v>
      </c>
      <c r="S228" s="62">
        <f t="shared" si="88"/>
        <v>0</v>
      </c>
      <c r="V228" s="62">
        <f t="shared" si="89"/>
        <v>40083</v>
      </c>
      <c r="W228" s="62">
        <f t="shared" si="80"/>
        <v>62668</v>
      </c>
      <c r="X228" s="62">
        <f t="shared" si="81"/>
        <v>27299</v>
      </c>
      <c r="Y228" s="62">
        <f t="shared" si="90"/>
        <v>130050</v>
      </c>
      <c r="Z228" s="62">
        <f t="shared" si="91"/>
        <v>0</v>
      </c>
      <c r="AC228" s="99">
        <f>'[1]Свод по видам помощи'!D217+'дополн сумма к расх с 01.07.13'!X28</f>
        <v>40083</v>
      </c>
      <c r="AD228" s="99">
        <f>'[1]Свод по видам помощи'!E217+'дополн сумма к расх с 01.07.13'!Y28</f>
        <v>62667</v>
      </c>
      <c r="AE228" s="99">
        <f>'[1]Свод по видам помощи'!F217+'дополн сумма к расх с 01.07.13'!Z28</f>
        <v>27300</v>
      </c>
      <c r="AF228" s="98">
        <f t="shared" si="92"/>
        <v>130050</v>
      </c>
      <c r="AH228" s="98">
        <f t="shared" si="93"/>
        <v>0</v>
      </c>
    </row>
    <row r="229" spans="1:34" ht="28.5" hidden="1" customHeight="1" x14ac:dyDescent="0.25">
      <c r="A229" s="56" t="s">
        <v>20</v>
      </c>
      <c r="B229" s="54" t="s">
        <v>34</v>
      </c>
      <c r="C229" s="55">
        <v>205431</v>
      </c>
      <c r="D229" s="55">
        <v>38453</v>
      </c>
      <c r="E229" s="55">
        <v>0</v>
      </c>
      <c r="F229" s="55">
        <v>0</v>
      </c>
      <c r="G229" s="55">
        <f t="shared" si="84"/>
        <v>38453</v>
      </c>
      <c r="H229" s="63">
        <v>125512</v>
      </c>
      <c r="I229" s="63">
        <v>0</v>
      </c>
      <c r="J229" s="63">
        <v>0</v>
      </c>
      <c r="K229" s="63">
        <f t="shared" si="85"/>
        <v>125512</v>
      </c>
      <c r="L229" s="63">
        <v>41466</v>
      </c>
      <c r="M229" s="63">
        <v>0</v>
      </c>
      <c r="N229" s="63">
        <v>0</v>
      </c>
      <c r="O229" s="63">
        <f t="shared" si="86"/>
        <v>41466</v>
      </c>
      <c r="R229" s="62">
        <f t="shared" si="87"/>
        <v>205431</v>
      </c>
      <c r="S229" s="62">
        <f t="shared" si="88"/>
        <v>0</v>
      </c>
      <c r="V229" s="62">
        <f t="shared" si="89"/>
        <v>205431</v>
      </c>
      <c r="W229" s="62">
        <f t="shared" si="80"/>
        <v>0</v>
      </c>
      <c r="X229" s="62">
        <f t="shared" si="81"/>
        <v>0</v>
      </c>
      <c r="Y229" s="62">
        <f t="shared" si="90"/>
        <v>205431</v>
      </c>
      <c r="Z229" s="62">
        <f t="shared" si="91"/>
        <v>0</v>
      </c>
      <c r="AC229" s="99">
        <f>'[1]Свод по видам помощи'!D218+'дополн сумма к расх с 01.07.13'!X29</f>
        <v>207436</v>
      </c>
      <c r="AF229" s="98">
        <f t="shared" si="92"/>
        <v>207436</v>
      </c>
      <c r="AH229" s="98">
        <f t="shared" si="93"/>
        <v>2005</v>
      </c>
    </row>
    <row r="230" spans="1:34" ht="34.5" customHeight="1" x14ac:dyDescent="0.25">
      <c r="A230" s="56" t="s">
        <v>22</v>
      </c>
      <c r="B230" s="54" t="s">
        <v>10</v>
      </c>
      <c r="C230" s="55">
        <f>689964+4751</f>
        <v>694715</v>
      </c>
      <c r="D230" s="55">
        <f>14990+103</f>
        <v>15093</v>
      </c>
      <c r="E230" s="55">
        <f>19606+135</f>
        <v>19741</v>
      </c>
      <c r="F230" s="55">
        <f>916+6</f>
        <v>922</v>
      </c>
      <c r="G230" s="55">
        <f t="shared" si="84"/>
        <v>35756</v>
      </c>
      <c r="H230" s="63">
        <f>233139+1605</f>
        <v>234744</v>
      </c>
      <c r="I230" s="63">
        <f>304941+2100</f>
        <v>307041</v>
      </c>
      <c r="J230" s="63">
        <f>14250+99</f>
        <v>14349</v>
      </c>
      <c r="K230" s="63">
        <f t="shared" si="85"/>
        <v>556134</v>
      </c>
      <c r="L230" s="63">
        <f>43106+297</f>
        <v>43403</v>
      </c>
      <c r="M230" s="63">
        <f>56381+388</f>
        <v>56769</v>
      </c>
      <c r="N230" s="63">
        <f>2635+18</f>
        <v>2653</v>
      </c>
      <c r="O230" s="63">
        <f t="shared" si="86"/>
        <v>102825</v>
      </c>
      <c r="R230" s="62">
        <f t="shared" si="87"/>
        <v>694715</v>
      </c>
      <c r="S230" s="62">
        <f t="shared" si="88"/>
        <v>0</v>
      </c>
      <c r="V230" s="62">
        <f t="shared" si="89"/>
        <v>293240</v>
      </c>
      <c r="W230" s="62">
        <f t="shared" si="80"/>
        <v>383551</v>
      </c>
      <c r="X230" s="62">
        <f t="shared" si="81"/>
        <v>17924</v>
      </c>
      <c r="Y230" s="62">
        <f t="shared" si="90"/>
        <v>694715</v>
      </c>
      <c r="Z230" s="62">
        <f t="shared" si="91"/>
        <v>0</v>
      </c>
      <c r="AC230" s="99">
        <f>'[1]Свод по видам помощи'!D219+'дополн сумма к расх с 01.07.13'!X29</f>
        <v>293240</v>
      </c>
      <c r="AD230" s="99">
        <f>'[1]Свод по видам помощи'!E219+'дополн сумма к расх с 01.07.13'!Y29</f>
        <v>383551</v>
      </c>
      <c r="AE230" s="99">
        <f>'[1]Свод по видам помощи'!F219+'дополн сумма к расх с 01.07.13'!Z29</f>
        <v>17924</v>
      </c>
      <c r="AF230" s="98">
        <f t="shared" si="92"/>
        <v>694715</v>
      </c>
      <c r="AH230" s="98">
        <f t="shared" si="93"/>
        <v>0</v>
      </c>
    </row>
    <row r="231" spans="1:34" ht="25.5" customHeight="1" x14ac:dyDescent="0.25">
      <c r="A231" s="56" t="s">
        <v>21</v>
      </c>
      <c r="B231" s="54" t="s">
        <v>9</v>
      </c>
      <c r="C231" s="55">
        <f>321639+153382</f>
        <v>475021</v>
      </c>
      <c r="D231" s="55">
        <f>18430+9146</f>
        <v>27576</v>
      </c>
      <c r="E231" s="55">
        <f>59040+27798</f>
        <v>86838</v>
      </c>
      <c r="F231" s="55">
        <v>0</v>
      </c>
      <c r="G231" s="55">
        <f t="shared" si="84"/>
        <v>114414</v>
      </c>
      <c r="H231" s="63">
        <f>57587+28578</f>
        <v>86165</v>
      </c>
      <c r="I231" s="63">
        <f>184478+86857</f>
        <v>271335</v>
      </c>
      <c r="J231" s="63">
        <v>0</v>
      </c>
      <c r="K231" s="63">
        <f t="shared" si="85"/>
        <v>357500</v>
      </c>
      <c r="L231" s="63">
        <f>500+248</f>
        <v>748</v>
      </c>
      <c r="M231" s="63">
        <f>1604+755</f>
        <v>2359</v>
      </c>
      <c r="N231" s="63">
        <v>0</v>
      </c>
      <c r="O231" s="63">
        <f t="shared" si="86"/>
        <v>3107</v>
      </c>
      <c r="R231" s="62">
        <f t="shared" si="87"/>
        <v>475021</v>
      </c>
      <c r="S231" s="62">
        <f t="shared" si="88"/>
        <v>0</v>
      </c>
      <c r="V231" s="62">
        <f t="shared" si="89"/>
        <v>114489</v>
      </c>
      <c r="W231" s="62">
        <f t="shared" si="80"/>
        <v>360532</v>
      </c>
      <c r="X231" s="62">
        <f t="shared" si="81"/>
        <v>0</v>
      </c>
      <c r="Y231" s="62">
        <f t="shared" si="90"/>
        <v>475021</v>
      </c>
      <c r="Z231" s="62">
        <f t="shared" si="91"/>
        <v>0</v>
      </c>
      <c r="AC231" s="99">
        <f>'[1]Свод по видам помощи'!D220+'дополн сумма к расх с 01.07.13'!X30</f>
        <v>114489</v>
      </c>
      <c r="AD231" s="99">
        <f>'[1]Свод по видам помощи'!E220+'дополн сумма к расх с 01.07.13'!Y30</f>
        <v>360532</v>
      </c>
      <c r="AE231" s="99">
        <f>'[1]Свод по видам помощи'!F220+'дополн сумма к расх с 01.07.13'!Z30</f>
        <v>0</v>
      </c>
      <c r="AF231" s="98">
        <f t="shared" si="92"/>
        <v>475021</v>
      </c>
      <c r="AH231" s="98">
        <f t="shared" si="93"/>
        <v>0</v>
      </c>
    </row>
    <row r="232" spans="1:34" ht="25.5" hidden="1" customHeight="1" x14ac:dyDescent="0.25">
      <c r="A232" s="56" t="s">
        <v>25</v>
      </c>
      <c r="B232" s="54" t="s">
        <v>8</v>
      </c>
      <c r="C232" s="55">
        <v>780365</v>
      </c>
      <c r="D232" s="55">
        <v>5043</v>
      </c>
      <c r="E232" s="55">
        <v>25781</v>
      </c>
      <c r="F232" s="55">
        <v>0</v>
      </c>
      <c r="G232" s="55">
        <f t="shared" si="84"/>
        <v>30824</v>
      </c>
      <c r="H232" s="63">
        <v>81845</v>
      </c>
      <c r="I232" s="63">
        <v>418431</v>
      </c>
      <c r="J232" s="63">
        <v>0</v>
      </c>
      <c r="K232" s="63">
        <f t="shared" si="85"/>
        <v>500276</v>
      </c>
      <c r="L232" s="63">
        <v>40780</v>
      </c>
      <c r="M232" s="63">
        <v>208485</v>
      </c>
      <c r="N232" s="63">
        <v>0</v>
      </c>
      <c r="O232" s="63">
        <f t="shared" si="86"/>
        <v>249265</v>
      </c>
      <c r="R232" s="62">
        <f t="shared" si="87"/>
        <v>780365</v>
      </c>
      <c r="S232" s="62">
        <f t="shared" si="88"/>
        <v>0</v>
      </c>
      <c r="V232" s="62">
        <f t="shared" si="89"/>
        <v>127668</v>
      </c>
      <c r="W232" s="62">
        <f t="shared" si="80"/>
        <v>652697</v>
      </c>
      <c r="X232" s="62">
        <f t="shared" si="81"/>
        <v>0</v>
      </c>
      <c r="Y232" s="62">
        <f t="shared" si="90"/>
        <v>780365</v>
      </c>
      <c r="Z232" s="62">
        <f t="shared" si="91"/>
        <v>0</v>
      </c>
      <c r="AC232" s="99">
        <f>'[1]Свод по видам помощи'!D221+'дополн сумма к расх с 01.07.13'!X31</f>
        <v>316143</v>
      </c>
      <c r="AF232" s="98">
        <f t="shared" si="92"/>
        <v>316143</v>
      </c>
      <c r="AH232" s="98">
        <f t="shared" si="93"/>
        <v>-464222</v>
      </c>
    </row>
    <row r="233" spans="1:34" ht="25.5" hidden="1" customHeight="1" x14ac:dyDescent="0.25">
      <c r="A233" s="56" t="s">
        <v>26</v>
      </c>
      <c r="B233" s="54" t="s">
        <v>7</v>
      </c>
      <c r="C233" s="55">
        <v>463878</v>
      </c>
      <c r="D233" s="55">
        <v>1152</v>
      </c>
      <c r="E233" s="55">
        <v>7323</v>
      </c>
      <c r="F233" s="55">
        <v>0</v>
      </c>
      <c r="G233" s="55">
        <f t="shared" si="84"/>
        <v>8475</v>
      </c>
      <c r="H233" s="63">
        <v>56269</v>
      </c>
      <c r="I233" s="63">
        <v>357779</v>
      </c>
      <c r="J233" s="63">
        <v>0</v>
      </c>
      <c r="K233" s="63">
        <f t="shared" si="85"/>
        <v>414048</v>
      </c>
      <c r="L233" s="63">
        <v>5620</v>
      </c>
      <c r="M233" s="63">
        <v>35735</v>
      </c>
      <c r="N233" s="63">
        <v>0</v>
      </c>
      <c r="O233" s="63">
        <f t="shared" si="86"/>
        <v>41355</v>
      </c>
      <c r="R233" s="62">
        <f t="shared" si="87"/>
        <v>463878</v>
      </c>
      <c r="S233" s="62">
        <f t="shared" si="88"/>
        <v>0</v>
      </c>
      <c r="V233" s="62">
        <f t="shared" si="89"/>
        <v>63041</v>
      </c>
      <c r="W233" s="62">
        <f t="shared" si="80"/>
        <v>400837</v>
      </c>
      <c r="X233" s="62">
        <f t="shared" si="81"/>
        <v>0</v>
      </c>
      <c r="Y233" s="62">
        <f t="shared" si="90"/>
        <v>463878</v>
      </c>
      <c r="Z233" s="62">
        <f t="shared" si="91"/>
        <v>0</v>
      </c>
      <c r="AC233" s="99">
        <f>'[1]Свод по видам помощи'!D222+'дополн сумма к расх с 01.07.13'!X32</f>
        <v>197242</v>
      </c>
      <c r="AF233" s="98">
        <f t="shared" si="92"/>
        <v>197242</v>
      </c>
      <c r="AH233" s="98">
        <f t="shared" si="93"/>
        <v>-266636</v>
      </c>
    </row>
    <row r="234" spans="1:34" ht="25.5" customHeight="1" x14ac:dyDescent="0.25">
      <c r="A234" s="56" t="s">
        <v>20</v>
      </c>
      <c r="B234" s="54" t="s">
        <v>6</v>
      </c>
      <c r="C234" s="55">
        <v>911340</v>
      </c>
      <c r="D234" s="55">
        <v>3283</v>
      </c>
      <c r="E234" s="55">
        <v>2994</v>
      </c>
      <c r="F234" s="55">
        <v>76</v>
      </c>
      <c r="G234" s="55">
        <f t="shared" si="84"/>
        <v>6353</v>
      </c>
      <c r="H234" s="63">
        <v>466930</v>
      </c>
      <c r="I234" s="63">
        <v>425933</v>
      </c>
      <c r="J234" s="63">
        <v>10757</v>
      </c>
      <c r="K234" s="63">
        <f t="shared" si="85"/>
        <v>903620</v>
      </c>
      <c r="L234" s="63">
        <v>706</v>
      </c>
      <c r="M234" s="63">
        <v>645</v>
      </c>
      <c r="N234" s="63">
        <v>16</v>
      </c>
      <c r="O234" s="63">
        <f t="shared" si="86"/>
        <v>1367</v>
      </c>
      <c r="R234" s="62">
        <f t="shared" si="87"/>
        <v>911340</v>
      </c>
      <c r="S234" s="62">
        <f t="shared" si="88"/>
        <v>0</v>
      </c>
      <c r="V234" s="62">
        <f t="shared" si="89"/>
        <v>470919</v>
      </c>
      <c r="W234" s="62">
        <f t="shared" si="80"/>
        <v>429572</v>
      </c>
      <c r="X234" s="62">
        <f t="shared" si="81"/>
        <v>10849</v>
      </c>
      <c r="Y234" s="62">
        <f t="shared" si="90"/>
        <v>911340</v>
      </c>
      <c r="Z234" s="62">
        <f t="shared" si="91"/>
        <v>0</v>
      </c>
      <c r="AC234" s="99">
        <f>'[1]Свод по видам помощи'!D223+'дополн сумма к расх с 01.07.13'!X31</f>
        <v>330760</v>
      </c>
      <c r="AD234" s="99">
        <f>'[1]Свод по видам помощи'!E223+'дополн сумма к расх с 01.07.13'!Y31</f>
        <v>315429</v>
      </c>
      <c r="AE234" s="99">
        <f>'[1]Свод по видам помощи'!F223+'дополн сумма к расх с 01.07.13'!Z31</f>
        <v>7317</v>
      </c>
      <c r="AF234" s="98">
        <f t="shared" si="92"/>
        <v>653506</v>
      </c>
      <c r="AH234" s="98">
        <f t="shared" si="93"/>
        <v>-257834</v>
      </c>
    </row>
    <row r="235" spans="1:34" ht="25.5" customHeight="1" x14ac:dyDescent="0.25">
      <c r="A235" s="56" t="s">
        <v>19</v>
      </c>
      <c r="B235" s="54" t="s">
        <v>5</v>
      </c>
      <c r="C235" s="55">
        <f>369890+467409</f>
        <v>837299</v>
      </c>
      <c r="D235" s="55">
        <f>11924+18567</f>
        <v>30491</v>
      </c>
      <c r="E235" s="55">
        <f>37188+43918</f>
        <v>81106</v>
      </c>
      <c r="F235" s="55">
        <f>2062+2181</f>
        <v>4243</v>
      </c>
      <c r="G235" s="55">
        <f t="shared" si="84"/>
        <v>115840</v>
      </c>
      <c r="H235" s="63">
        <f>73538+114508</f>
        <v>188046</v>
      </c>
      <c r="I235" s="63">
        <f>229355+270860</f>
        <v>500215</v>
      </c>
      <c r="J235" s="63">
        <f>12719+13453</f>
        <v>26172</v>
      </c>
      <c r="K235" s="63">
        <f t="shared" si="85"/>
        <v>714433</v>
      </c>
      <c r="L235" s="63">
        <f>723+1126</f>
        <v>1849</v>
      </c>
      <c r="M235" s="63">
        <f>2256+2663</f>
        <v>4919</v>
      </c>
      <c r="N235" s="63">
        <f>125+133</f>
        <v>258</v>
      </c>
      <c r="O235" s="63">
        <f t="shared" si="86"/>
        <v>7026</v>
      </c>
      <c r="R235" s="62">
        <f t="shared" si="87"/>
        <v>837299</v>
      </c>
      <c r="S235" s="62">
        <f t="shared" si="88"/>
        <v>0</v>
      </c>
      <c r="V235" s="62">
        <f t="shared" si="89"/>
        <v>220386</v>
      </c>
      <c r="W235" s="62">
        <f t="shared" si="80"/>
        <v>586240</v>
      </c>
      <c r="X235" s="62">
        <f t="shared" si="81"/>
        <v>30673</v>
      </c>
      <c r="Y235" s="62">
        <f t="shared" si="90"/>
        <v>837299</v>
      </c>
      <c r="Z235" s="62">
        <f t="shared" si="91"/>
        <v>0</v>
      </c>
      <c r="AC235" s="99">
        <f>'[1]Свод по видам помощи'!D224+'дополн сумма к расх с 01.07.13'!X32</f>
        <v>220386</v>
      </c>
      <c r="AD235" s="99">
        <f>'[1]Свод по видам помощи'!E224+'дополн сумма к расх с 01.07.13'!Y32</f>
        <v>586240</v>
      </c>
      <c r="AE235" s="99">
        <f>'[1]Свод по видам помощи'!F224+'дополн сумма к расх с 01.07.13'!Z32</f>
        <v>30673</v>
      </c>
      <c r="AF235" s="98">
        <f t="shared" si="92"/>
        <v>837299</v>
      </c>
      <c r="AH235" s="98">
        <f t="shared" si="93"/>
        <v>0</v>
      </c>
    </row>
    <row r="236" spans="1:34" ht="25.5" customHeight="1" x14ac:dyDescent="0.25">
      <c r="A236" s="56" t="s">
        <v>18</v>
      </c>
      <c r="B236" s="54" t="s">
        <v>4</v>
      </c>
      <c r="C236" s="55">
        <f>306503+439897</f>
        <v>746400</v>
      </c>
      <c r="D236" s="55">
        <f>5944+8530</f>
        <v>14474</v>
      </c>
      <c r="E236" s="55">
        <f>10016+14375</f>
        <v>24391</v>
      </c>
      <c r="F236" s="55">
        <f>414+595</f>
        <v>1009</v>
      </c>
      <c r="G236" s="55">
        <f t="shared" si="84"/>
        <v>39874</v>
      </c>
      <c r="H236" s="63">
        <f>101838+146156</f>
        <v>247994</v>
      </c>
      <c r="I236" s="63">
        <f>171610+246302</f>
        <v>417912</v>
      </c>
      <c r="J236" s="63">
        <f>7097+10184</f>
        <v>17281</v>
      </c>
      <c r="K236" s="63">
        <f t="shared" si="85"/>
        <v>683187</v>
      </c>
      <c r="L236" s="63">
        <f>3479+4993</f>
        <v>8472</v>
      </c>
      <c r="M236" s="63">
        <f>5863+8414</f>
        <v>14277</v>
      </c>
      <c r="N236" s="63">
        <f>242+348</f>
        <v>590</v>
      </c>
      <c r="O236" s="63">
        <f t="shared" si="86"/>
        <v>23339</v>
      </c>
      <c r="R236" s="62">
        <f t="shared" si="87"/>
        <v>746400</v>
      </c>
      <c r="S236" s="62">
        <f t="shared" si="88"/>
        <v>0</v>
      </c>
      <c r="V236" s="62">
        <f t="shared" si="89"/>
        <v>270940</v>
      </c>
      <c r="W236" s="62">
        <f t="shared" si="80"/>
        <v>456580</v>
      </c>
      <c r="X236" s="62">
        <f t="shared" si="81"/>
        <v>18880</v>
      </c>
      <c r="Y236" s="62">
        <f t="shared" si="90"/>
        <v>746400</v>
      </c>
      <c r="Z236" s="62">
        <f t="shared" si="91"/>
        <v>0</v>
      </c>
      <c r="AC236" s="99">
        <f>'[1]Свод по видам помощи'!D225+'дополн сумма к расх с 01.07.13'!X33</f>
        <v>270940</v>
      </c>
      <c r="AD236" s="99">
        <f>'[1]Свод по видам помощи'!E225+'дополн сумма к расх с 01.07.13'!Y33</f>
        <v>456581</v>
      </c>
      <c r="AE236" s="99">
        <f>'[1]Свод по видам помощи'!F225+'дополн сумма к расх с 01.07.13'!Z33</f>
        <v>18879</v>
      </c>
      <c r="AF236" s="98">
        <f t="shared" si="92"/>
        <v>746400</v>
      </c>
      <c r="AH236" s="98">
        <f t="shared" si="93"/>
        <v>0</v>
      </c>
    </row>
    <row r="237" spans="1:34" ht="25.5" customHeight="1" x14ac:dyDescent="0.25">
      <c r="A237" s="56" t="s">
        <v>25</v>
      </c>
      <c r="B237" s="54" t="s">
        <v>3</v>
      </c>
      <c r="C237" s="55">
        <f>677961+126225</f>
        <v>804186</v>
      </c>
      <c r="D237" s="55">
        <f>32495+6050</f>
        <v>38545</v>
      </c>
      <c r="E237" s="55">
        <f>15998+2978</f>
        <v>18976</v>
      </c>
      <c r="F237" s="55">
        <f>1500+280</f>
        <v>1780</v>
      </c>
      <c r="G237" s="55">
        <f t="shared" si="84"/>
        <v>59301</v>
      </c>
      <c r="H237" s="63">
        <f>363072+67597</f>
        <v>430669</v>
      </c>
      <c r="I237" s="63">
        <f>178743+33276</f>
        <v>212019</v>
      </c>
      <c r="J237" s="63">
        <f>16757+3124</f>
        <v>19881</v>
      </c>
      <c r="K237" s="63">
        <f t="shared" si="85"/>
        <v>662569</v>
      </c>
      <c r="L237" s="63">
        <f>45107+8398</f>
        <v>53505</v>
      </c>
      <c r="M237" s="63">
        <f>22207+4134</f>
        <v>26341</v>
      </c>
      <c r="N237" s="63">
        <f>2082+388</f>
        <v>2470</v>
      </c>
      <c r="O237" s="63">
        <f t="shared" si="86"/>
        <v>82316</v>
      </c>
      <c r="R237" s="62">
        <f t="shared" si="87"/>
        <v>804186</v>
      </c>
      <c r="S237" s="62">
        <f t="shared" si="88"/>
        <v>0</v>
      </c>
      <c r="V237" s="62">
        <f t="shared" si="89"/>
        <v>522719</v>
      </c>
      <c r="W237" s="62">
        <f t="shared" si="80"/>
        <v>257336</v>
      </c>
      <c r="X237" s="62">
        <f t="shared" si="81"/>
        <v>24131</v>
      </c>
      <c r="Y237" s="62">
        <f t="shared" si="90"/>
        <v>804186</v>
      </c>
      <c r="Z237" s="62">
        <f t="shared" si="91"/>
        <v>0</v>
      </c>
      <c r="AC237" s="99">
        <f>'[1]Свод по видам помощи'!D226+'дополн сумма к расх с 01.07.13'!X34</f>
        <v>522719</v>
      </c>
      <c r="AD237" s="99">
        <f>'[1]Свод по видам помощи'!E226+'дополн сумма к расх с 01.07.13'!Y34</f>
        <v>257336</v>
      </c>
      <c r="AE237" s="99">
        <f>'[1]Свод по видам помощи'!F226+'дополн сумма к расх с 01.07.13'!Z34</f>
        <v>24131</v>
      </c>
      <c r="AF237" s="98">
        <f t="shared" si="92"/>
        <v>804186</v>
      </c>
      <c r="AH237" s="98">
        <f t="shared" si="93"/>
        <v>0</v>
      </c>
    </row>
    <row r="238" spans="1:34" ht="54" hidden="1" customHeight="1" x14ac:dyDescent="0.25">
      <c r="A238" s="56" t="s">
        <v>30</v>
      </c>
      <c r="B238" s="54" t="s">
        <v>2</v>
      </c>
      <c r="C238" s="55">
        <v>39742</v>
      </c>
      <c r="D238" s="55">
        <v>1125</v>
      </c>
      <c r="E238" s="55">
        <v>0</v>
      </c>
      <c r="F238" s="55">
        <v>0</v>
      </c>
      <c r="G238" s="55">
        <f t="shared" si="84"/>
        <v>1125</v>
      </c>
      <c r="H238" s="63">
        <v>33271</v>
      </c>
      <c r="I238" s="63">
        <v>0</v>
      </c>
      <c r="J238" s="63">
        <v>0</v>
      </c>
      <c r="K238" s="63">
        <f t="shared" si="85"/>
        <v>33271</v>
      </c>
      <c r="L238" s="63">
        <v>5346</v>
      </c>
      <c r="M238" s="63">
        <v>0</v>
      </c>
      <c r="N238" s="63">
        <v>0</v>
      </c>
      <c r="O238" s="63">
        <f t="shared" si="86"/>
        <v>5346</v>
      </c>
      <c r="R238" s="62">
        <f t="shared" si="87"/>
        <v>39742</v>
      </c>
      <c r="S238" s="62">
        <f t="shared" si="88"/>
        <v>0</v>
      </c>
      <c r="V238" s="62">
        <f t="shared" si="89"/>
        <v>39742</v>
      </c>
      <c r="W238" s="62">
        <f t="shared" si="80"/>
        <v>0</v>
      </c>
      <c r="X238" s="62">
        <f t="shared" si="81"/>
        <v>0</v>
      </c>
      <c r="Y238" s="62">
        <f t="shared" si="90"/>
        <v>39742</v>
      </c>
      <c r="Z238" s="62">
        <f t="shared" si="91"/>
        <v>0</v>
      </c>
    </row>
    <row r="239" spans="1:34" ht="39.75" hidden="1" customHeight="1" x14ac:dyDescent="0.25">
      <c r="A239" s="56" t="s">
        <v>31</v>
      </c>
      <c r="B239" s="54" t="s">
        <v>1</v>
      </c>
      <c r="C239" s="55">
        <v>35090</v>
      </c>
      <c r="D239" s="55">
        <v>2610</v>
      </c>
      <c r="E239" s="55">
        <v>0</v>
      </c>
      <c r="F239" s="55">
        <v>0</v>
      </c>
      <c r="G239" s="55">
        <f t="shared" si="84"/>
        <v>2610</v>
      </c>
      <c r="H239" s="63">
        <v>31064</v>
      </c>
      <c r="I239" s="63">
        <v>0</v>
      </c>
      <c r="J239" s="63">
        <v>0</v>
      </c>
      <c r="K239" s="63">
        <f t="shared" si="85"/>
        <v>31064</v>
      </c>
      <c r="L239" s="63">
        <v>1416</v>
      </c>
      <c r="M239" s="63">
        <v>0</v>
      </c>
      <c r="N239" s="63">
        <v>0</v>
      </c>
      <c r="O239" s="63">
        <f t="shared" si="86"/>
        <v>1416</v>
      </c>
      <c r="R239" s="62">
        <f t="shared" si="87"/>
        <v>35090</v>
      </c>
      <c r="S239" s="62">
        <f t="shared" si="88"/>
        <v>0</v>
      </c>
      <c r="V239" s="62">
        <f t="shared" si="89"/>
        <v>35090</v>
      </c>
      <c r="W239" s="62">
        <f t="shared" si="80"/>
        <v>0</v>
      </c>
      <c r="X239" s="62">
        <f t="shared" si="81"/>
        <v>0</v>
      </c>
      <c r="Y239" s="62">
        <f t="shared" si="90"/>
        <v>35090</v>
      </c>
      <c r="Z239" s="62">
        <f t="shared" si="91"/>
        <v>0</v>
      </c>
    </row>
    <row r="240" spans="1:34" ht="33" hidden="1" customHeight="1" x14ac:dyDescent="0.25">
      <c r="A240" s="56" t="s">
        <v>32</v>
      </c>
      <c r="B240" s="54" t="s">
        <v>73</v>
      </c>
      <c r="C240" s="55">
        <v>104184</v>
      </c>
      <c r="D240" s="55">
        <v>20492</v>
      </c>
      <c r="E240" s="55">
        <v>0</v>
      </c>
      <c r="F240" s="55">
        <v>0</v>
      </c>
      <c r="G240" s="55">
        <f t="shared" si="84"/>
        <v>20492</v>
      </c>
      <c r="H240" s="63">
        <v>67080</v>
      </c>
      <c r="I240" s="63">
        <v>0</v>
      </c>
      <c r="J240" s="63">
        <v>0</v>
      </c>
      <c r="K240" s="63">
        <f t="shared" si="85"/>
        <v>67080</v>
      </c>
      <c r="L240" s="63">
        <v>16612</v>
      </c>
      <c r="M240" s="63">
        <v>0</v>
      </c>
      <c r="N240" s="63">
        <v>0</v>
      </c>
      <c r="O240" s="63">
        <f t="shared" si="86"/>
        <v>16612</v>
      </c>
      <c r="R240" s="62">
        <f t="shared" si="87"/>
        <v>104184</v>
      </c>
      <c r="S240" s="62">
        <f t="shared" si="88"/>
        <v>0</v>
      </c>
      <c r="V240" s="62">
        <f t="shared" si="89"/>
        <v>104184</v>
      </c>
      <c r="W240" s="62">
        <f t="shared" si="80"/>
        <v>0</v>
      </c>
      <c r="X240" s="62">
        <f t="shared" si="81"/>
        <v>0</v>
      </c>
      <c r="Y240" s="62">
        <f t="shared" si="90"/>
        <v>104184</v>
      </c>
      <c r="Z240" s="62">
        <f t="shared" si="91"/>
        <v>0</v>
      </c>
    </row>
    <row r="241" spans="1:34" ht="33" hidden="1" customHeight="1" x14ac:dyDescent="0.25">
      <c r="A241" s="56" t="s">
        <v>90</v>
      </c>
      <c r="B241" s="70" t="s">
        <v>91</v>
      </c>
      <c r="C241" s="55">
        <f>E241+I241+M241</f>
        <v>61662</v>
      </c>
      <c r="D241" s="55">
        <v>0</v>
      </c>
      <c r="E241" s="55">
        <v>10436</v>
      </c>
      <c r="F241" s="55">
        <v>0</v>
      </c>
      <c r="G241" s="55">
        <f t="shared" si="84"/>
        <v>10436</v>
      </c>
      <c r="H241" s="63">
        <v>0</v>
      </c>
      <c r="I241" s="63">
        <v>34306</v>
      </c>
      <c r="J241" s="63">
        <v>0</v>
      </c>
      <c r="K241" s="63">
        <f t="shared" si="85"/>
        <v>34306</v>
      </c>
      <c r="L241" s="63">
        <v>0</v>
      </c>
      <c r="M241" s="63">
        <v>16920</v>
      </c>
      <c r="N241" s="63">
        <v>0</v>
      </c>
      <c r="O241" s="63">
        <f t="shared" si="86"/>
        <v>16920</v>
      </c>
      <c r="R241" s="62">
        <f t="shared" si="87"/>
        <v>61662</v>
      </c>
      <c r="S241" s="62">
        <f>R241-C241</f>
        <v>0</v>
      </c>
      <c r="V241" s="62">
        <f t="shared" si="89"/>
        <v>0</v>
      </c>
      <c r="W241" s="62">
        <f t="shared" si="80"/>
        <v>61662</v>
      </c>
      <c r="X241" s="62">
        <f t="shared" si="81"/>
        <v>0</v>
      </c>
      <c r="Y241" s="62">
        <f t="shared" si="90"/>
        <v>61662</v>
      </c>
      <c r="Z241" s="62">
        <f t="shared" si="91"/>
        <v>0</v>
      </c>
    </row>
    <row r="242" spans="1:34" ht="25.5" customHeight="1" x14ac:dyDescent="0.25">
      <c r="A242" s="57"/>
      <c r="B242" s="57" t="s">
        <v>0</v>
      </c>
      <c r="C242" s="58">
        <f>C224+C226+C228+C230+C231+C234+C235+C236+C237</f>
        <v>7647106</v>
      </c>
      <c r="D242" s="58">
        <f t="shared" ref="D242:O242" si="94">D224+D226+D228+D230+D231+D234+D235+D236+D237</f>
        <v>213494</v>
      </c>
      <c r="E242" s="58">
        <f>E224+E226+E228+E230+E231+E234+E235+E236+E237</f>
        <v>573710</v>
      </c>
      <c r="F242" s="58">
        <f t="shared" si="94"/>
        <v>11520</v>
      </c>
      <c r="G242" s="58">
        <f t="shared" si="94"/>
        <v>798724</v>
      </c>
      <c r="H242" s="58">
        <f t="shared" si="94"/>
        <v>2014462</v>
      </c>
      <c r="I242" s="58">
        <f t="shared" si="94"/>
        <v>3968918</v>
      </c>
      <c r="J242" s="58">
        <f t="shared" si="94"/>
        <v>106954</v>
      </c>
      <c r="K242" s="58">
        <f t="shared" si="94"/>
        <v>6090334</v>
      </c>
      <c r="L242" s="58">
        <f t="shared" si="94"/>
        <v>210548</v>
      </c>
      <c r="M242" s="58">
        <f t="shared" si="94"/>
        <v>536218</v>
      </c>
      <c r="N242" s="58">
        <f t="shared" si="94"/>
        <v>11282</v>
      </c>
      <c r="O242" s="58">
        <f t="shared" si="94"/>
        <v>758048</v>
      </c>
      <c r="R242" s="62">
        <f t="shared" si="87"/>
        <v>7647106</v>
      </c>
      <c r="S242" s="62">
        <f t="shared" si="88"/>
        <v>0</v>
      </c>
      <c r="V242" s="62">
        <f t="shared" si="89"/>
        <v>2438504</v>
      </c>
      <c r="W242" s="62">
        <f t="shared" si="80"/>
        <v>5078846</v>
      </c>
      <c r="X242" s="62">
        <f t="shared" si="81"/>
        <v>129756</v>
      </c>
      <c r="Y242" s="62">
        <f t="shared" si="90"/>
        <v>7647106</v>
      </c>
      <c r="Z242" s="62">
        <f t="shared" si="91"/>
        <v>0</v>
      </c>
    </row>
    <row r="243" spans="1:34" ht="25.5" customHeight="1" x14ac:dyDescent="0.25">
      <c r="A243" s="80"/>
      <c r="B243" s="80"/>
      <c r="C243" s="81"/>
      <c r="D243" s="81"/>
      <c r="E243" s="81"/>
      <c r="F243" s="81"/>
      <c r="G243" s="81"/>
      <c r="H243" s="81"/>
      <c r="I243" s="81"/>
      <c r="J243" s="81"/>
      <c r="K243" s="81"/>
      <c r="L243" s="81"/>
      <c r="M243" s="81"/>
      <c r="N243" s="81"/>
      <c r="O243" s="81"/>
      <c r="R243" s="62"/>
      <c r="S243" s="62"/>
    </row>
    <row r="244" spans="1:34" x14ac:dyDescent="0.25">
      <c r="A244" s="161" t="s">
        <v>94</v>
      </c>
      <c r="B244" s="161"/>
      <c r="C244" s="161"/>
      <c r="D244" s="161"/>
      <c r="E244" s="161"/>
      <c r="F244" s="161"/>
      <c r="G244" s="161"/>
      <c r="H244" s="161"/>
      <c r="I244" s="161"/>
      <c r="J244" s="161"/>
      <c r="K244" s="161"/>
      <c r="L244" s="161"/>
      <c r="M244" s="161"/>
      <c r="N244" s="161"/>
      <c r="O244" s="161"/>
    </row>
    <row r="245" spans="1:34" s="4" customFormat="1" ht="28.5" customHeight="1" x14ac:dyDescent="0.25">
      <c r="A245" s="152" t="s">
        <v>17</v>
      </c>
      <c r="B245" s="152" t="s">
        <v>33</v>
      </c>
      <c r="C245" s="152" t="s">
        <v>83</v>
      </c>
      <c r="D245" s="152" t="s">
        <v>69</v>
      </c>
      <c r="E245" s="152"/>
      <c r="F245" s="152"/>
      <c r="G245" s="152"/>
      <c r="H245" s="152"/>
      <c r="I245" s="152"/>
      <c r="J245" s="152"/>
      <c r="K245" s="152"/>
      <c r="L245" s="152"/>
      <c r="M245" s="152"/>
      <c r="N245" s="152"/>
      <c r="O245" s="152"/>
      <c r="R245" s="61"/>
      <c r="S245" s="61"/>
      <c r="V245" s="61"/>
      <c r="W245" s="61"/>
      <c r="X245" s="61"/>
      <c r="Y245" s="61"/>
      <c r="Z245" s="61"/>
      <c r="AC245" s="95"/>
      <c r="AD245" s="95"/>
      <c r="AE245" s="95"/>
      <c r="AF245" s="95"/>
      <c r="AG245" s="93"/>
      <c r="AH245" s="95"/>
    </row>
    <row r="246" spans="1:34" s="4" customFormat="1" ht="41.25" customHeight="1" x14ac:dyDescent="0.25">
      <c r="A246" s="152"/>
      <c r="B246" s="152"/>
      <c r="C246" s="152"/>
      <c r="D246" s="154" t="s">
        <v>36</v>
      </c>
      <c r="E246" s="154"/>
      <c r="F246" s="154"/>
      <c r="G246" s="154"/>
      <c r="H246" s="155" t="s">
        <v>37</v>
      </c>
      <c r="I246" s="156"/>
      <c r="J246" s="156"/>
      <c r="K246" s="157"/>
      <c r="L246" s="155" t="s">
        <v>38</v>
      </c>
      <c r="M246" s="156"/>
      <c r="N246" s="156"/>
      <c r="O246" s="157"/>
      <c r="R246" s="61"/>
      <c r="S246" s="61"/>
      <c r="V246" s="61"/>
      <c r="W246" s="61"/>
      <c r="X246" s="61"/>
      <c r="Y246" s="61"/>
      <c r="Z246" s="61"/>
      <c r="AC246" s="95"/>
      <c r="AD246" s="95"/>
      <c r="AE246" s="95"/>
      <c r="AF246" s="95"/>
      <c r="AG246" s="93"/>
      <c r="AH246" s="95"/>
    </row>
    <row r="247" spans="1:34" s="4" customFormat="1" ht="59.25" customHeight="1" x14ac:dyDescent="0.25">
      <c r="A247" s="152"/>
      <c r="B247" s="152"/>
      <c r="C247" s="152"/>
      <c r="D247" s="59" t="s">
        <v>66</v>
      </c>
      <c r="E247" s="59" t="s">
        <v>67</v>
      </c>
      <c r="F247" s="59" t="s">
        <v>68</v>
      </c>
      <c r="G247" s="59" t="s">
        <v>70</v>
      </c>
      <c r="H247" s="65" t="s">
        <v>66</v>
      </c>
      <c r="I247" s="65" t="s">
        <v>67</v>
      </c>
      <c r="J247" s="65" t="s">
        <v>68</v>
      </c>
      <c r="K247" s="65" t="s">
        <v>71</v>
      </c>
      <c r="L247" s="65" t="s">
        <v>66</v>
      </c>
      <c r="M247" s="65" t="s">
        <v>67</v>
      </c>
      <c r="N247" s="65" t="s">
        <v>68</v>
      </c>
      <c r="O247" s="65" t="s">
        <v>72</v>
      </c>
      <c r="R247" s="61"/>
      <c r="S247" s="61"/>
      <c r="V247" s="61" t="s">
        <v>44</v>
      </c>
      <c r="W247" s="61" t="s">
        <v>96</v>
      </c>
      <c r="X247" s="61" t="s">
        <v>97</v>
      </c>
      <c r="Y247" s="61"/>
      <c r="Z247" s="61"/>
      <c r="AC247" s="95"/>
      <c r="AD247" s="95"/>
      <c r="AE247" s="95"/>
      <c r="AF247" s="95"/>
      <c r="AG247" s="93"/>
      <c r="AH247" s="95"/>
    </row>
    <row r="248" spans="1:34" s="3" customFormat="1" ht="14.25" customHeight="1" x14ac:dyDescent="0.25">
      <c r="A248" s="53">
        <v>1</v>
      </c>
      <c r="B248" s="53">
        <v>2</v>
      </c>
      <c r="C248" s="53">
        <v>3</v>
      </c>
      <c r="D248" s="53">
        <v>4</v>
      </c>
      <c r="E248" s="53">
        <v>5</v>
      </c>
      <c r="F248" s="53">
        <v>6</v>
      </c>
      <c r="G248" s="53">
        <v>7</v>
      </c>
      <c r="H248" s="66">
        <v>8</v>
      </c>
      <c r="I248" s="66">
        <v>9</v>
      </c>
      <c r="J248" s="66">
        <v>10</v>
      </c>
      <c r="K248" s="66">
        <v>11</v>
      </c>
      <c r="L248" s="66">
        <v>12</v>
      </c>
      <c r="M248" s="66">
        <v>13</v>
      </c>
      <c r="N248" s="66">
        <v>14</v>
      </c>
      <c r="O248" s="66">
        <v>15</v>
      </c>
      <c r="R248" s="61"/>
      <c r="S248" s="61"/>
      <c r="V248" s="61"/>
      <c r="W248" s="61"/>
      <c r="X248" s="61"/>
      <c r="Y248" s="61"/>
      <c r="Z248" s="61"/>
      <c r="AC248" s="95"/>
      <c r="AD248" s="95"/>
      <c r="AE248" s="95"/>
      <c r="AF248" s="95"/>
      <c r="AG248" s="94"/>
      <c r="AH248" s="95"/>
    </row>
    <row r="249" spans="1:34" s="3" customFormat="1" ht="25.5" customHeight="1" x14ac:dyDescent="0.25">
      <c r="A249" s="53" t="s">
        <v>16</v>
      </c>
      <c r="B249" s="54" t="s">
        <v>15</v>
      </c>
      <c r="C249" s="55">
        <f>2129231+285489</f>
        <v>2414720</v>
      </c>
      <c r="D249" s="55">
        <f>70133+9395</f>
        <v>79528</v>
      </c>
      <c r="E249" s="55">
        <f>262091+35150</f>
        <v>297241</v>
      </c>
      <c r="F249" s="55">
        <v>0</v>
      </c>
      <c r="G249" s="55">
        <f>D249+E249+F249</f>
        <v>376769</v>
      </c>
      <c r="H249" s="63">
        <f>295722+39614</f>
        <v>335336</v>
      </c>
      <c r="I249" s="63">
        <f>1105141+148215</f>
        <v>1253356</v>
      </c>
      <c r="J249" s="63">
        <v>0</v>
      </c>
      <c r="K249" s="63">
        <f>H249+I249+J249</f>
        <v>1588692</v>
      </c>
      <c r="L249" s="63">
        <f>83626+11202</f>
        <v>94828</v>
      </c>
      <c r="M249" s="63">
        <f>312518+41913</f>
        <v>354431</v>
      </c>
      <c r="N249" s="63">
        <v>0</v>
      </c>
      <c r="O249" s="63">
        <f>L249+M249+N249</f>
        <v>449259</v>
      </c>
      <c r="R249" s="62">
        <f>G249+K249+O249</f>
        <v>2414720</v>
      </c>
      <c r="S249" s="62">
        <f>R249-C249</f>
        <v>0</v>
      </c>
      <c r="V249" s="62">
        <f>D249+H249+L249</f>
        <v>509692</v>
      </c>
      <c r="W249" s="62">
        <f t="shared" ref="W249:W267" si="95">E249+I249+M249</f>
        <v>1905028</v>
      </c>
      <c r="X249" s="62">
        <f t="shared" ref="X249:X267" si="96">F249+J249+N249</f>
        <v>0</v>
      </c>
      <c r="Y249" s="62">
        <f>V249+W249+X249</f>
        <v>2414720</v>
      </c>
      <c r="Z249" s="62">
        <f>Y249-C249</f>
        <v>0</v>
      </c>
      <c r="AC249" s="99">
        <f>'[1]Свод по видам помощи'!D236+'дополн сумма к расх с 01.07.13'!X43</f>
        <v>509692</v>
      </c>
      <c r="AD249" s="99">
        <f>'[1]Свод по видам помощи'!E236+'дополн сумма к расх с 01.07.13'!Y43</f>
        <v>1905028</v>
      </c>
      <c r="AE249" s="99">
        <f>'[1]Свод по видам помощи'!F236+'дополн сумма к расх с 01.07.13'!Z43</f>
        <v>0</v>
      </c>
      <c r="AF249" s="98">
        <f t="shared" ref="AF249" si="97">AC249+AD249+AE249</f>
        <v>2414720</v>
      </c>
      <c r="AG249" s="92"/>
      <c r="AH249" s="98">
        <f t="shared" ref="AH249" si="98">AF249-Y249</f>
        <v>0</v>
      </c>
    </row>
    <row r="250" spans="1:34" ht="40.5" hidden="1" customHeight="1" x14ac:dyDescent="0.25">
      <c r="A250" s="56" t="s">
        <v>24</v>
      </c>
      <c r="B250" s="54" t="s">
        <v>14</v>
      </c>
      <c r="C250" s="55">
        <v>271373</v>
      </c>
      <c r="D250" s="55">
        <v>28539</v>
      </c>
      <c r="E250" s="55">
        <v>26840</v>
      </c>
      <c r="F250" s="55">
        <v>855</v>
      </c>
      <c r="G250" s="55">
        <f t="shared" ref="G250:G266" si="99">D250+E250+F250</f>
        <v>56234</v>
      </c>
      <c r="H250" s="63">
        <v>83870</v>
      </c>
      <c r="I250" s="63">
        <v>78879</v>
      </c>
      <c r="J250" s="63">
        <v>2512</v>
      </c>
      <c r="K250" s="63">
        <f t="shared" ref="K250:K266" si="100">H250+I250+J250</f>
        <v>165261</v>
      </c>
      <c r="L250" s="63">
        <v>25313</v>
      </c>
      <c r="M250" s="63">
        <v>23807</v>
      </c>
      <c r="N250" s="63">
        <v>758</v>
      </c>
      <c r="O250" s="63">
        <f t="shared" ref="O250:O266" si="101">L250+M250+N250</f>
        <v>49878</v>
      </c>
      <c r="R250" s="62">
        <f t="shared" ref="R250:R267" si="102">G250+K250+O250</f>
        <v>271373</v>
      </c>
      <c r="S250" s="62">
        <f t="shared" ref="S250:S267" si="103">R250-C250</f>
        <v>0</v>
      </c>
      <c r="V250" s="62">
        <f t="shared" ref="V250:V267" si="104">D250+H250+L250</f>
        <v>137722</v>
      </c>
      <c r="W250" s="62">
        <f t="shared" si="95"/>
        <v>129526</v>
      </c>
      <c r="X250" s="62">
        <f t="shared" si="96"/>
        <v>4125</v>
      </c>
      <c r="Y250" s="62">
        <f t="shared" ref="Y250:Y267" si="105">V250+W250+X250</f>
        <v>271373</v>
      </c>
      <c r="Z250" s="62">
        <f t="shared" ref="Z250:Z267" si="106">Y250-C250</f>
        <v>0</v>
      </c>
      <c r="AC250" s="99">
        <f>'[1]Свод по видам помощи'!D237+'дополн сумма к расх с 01.07.13'!X44</f>
        <v>137722</v>
      </c>
      <c r="AF250" s="98">
        <f t="shared" ref="AF250:AF266" si="107">AC250+AD250+AE250</f>
        <v>137722</v>
      </c>
      <c r="AH250" s="98">
        <f t="shared" ref="AH250:AH266" si="108">AF250-Y250</f>
        <v>-133651</v>
      </c>
    </row>
    <row r="251" spans="1:34" ht="34.5" customHeight="1" x14ac:dyDescent="0.25">
      <c r="A251" s="56" t="s">
        <v>24</v>
      </c>
      <c r="B251" s="54" t="s">
        <v>13</v>
      </c>
      <c r="C251" s="55">
        <f>667382+23221</f>
        <v>690603</v>
      </c>
      <c r="D251" s="55">
        <v>0</v>
      </c>
      <c r="E251" s="55">
        <f>37827+1316</f>
        <v>39143</v>
      </c>
      <c r="F251" s="55">
        <v>0</v>
      </c>
      <c r="G251" s="55">
        <f t="shared" si="99"/>
        <v>39143</v>
      </c>
      <c r="H251" s="63">
        <v>0</v>
      </c>
      <c r="I251" s="63">
        <f>560701+19509</f>
        <v>580210</v>
      </c>
      <c r="J251" s="63">
        <v>0</v>
      </c>
      <c r="K251" s="63">
        <f t="shared" si="100"/>
        <v>580210</v>
      </c>
      <c r="L251" s="63">
        <v>0</v>
      </c>
      <c r="M251" s="63">
        <f>68854+2396</f>
        <v>71250</v>
      </c>
      <c r="N251" s="63">
        <v>0</v>
      </c>
      <c r="O251" s="63">
        <f t="shared" si="101"/>
        <v>71250</v>
      </c>
      <c r="R251" s="62">
        <f t="shared" si="102"/>
        <v>690603</v>
      </c>
      <c r="S251" s="62">
        <f t="shared" si="103"/>
        <v>0</v>
      </c>
      <c r="V251" s="62">
        <f t="shared" si="104"/>
        <v>0</v>
      </c>
      <c r="W251" s="62">
        <f t="shared" si="95"/>
        <v>690603</v>
      </c>
      <c r="X251" s="62">
        <f t="shared" si="96"/>
        <v>0</v>
      </c>
      <c r="Y251" s="62">
        <f t="shared" si="105"/>
        <v>690603</v>
      </c>
      <c r="Z251" s="62">
        <f t="shared" si="106"/>
        <v>0</v>
      </c>
      <c r="AC251" s="99">
        <f>'[1]Свод по видам помощи'!D238+'дополн сумма к расх с 01.07.13'!X44</f>
        <v>0</v>
      </c>
      <c r="AD251" s="99">
        <f>'[1]Свод по видам помощи'!E238+'дополн сумма к расх с 01.07.13'!Y44</f>
        <v>690603</v>
      </c>
      <c r="AE251" s="99">
        <f>'[1]Свод по видам помощи'!F238+'дополн сумма к расх с 01.07.13'!Z44</f>
        <v>0</v>
      </c>
      <c r="AF251" s="98">
        <f t="shared" si="107"/>
        <v>690603</v>
      </c>
      <c r="AH251" s="98">
        <f t="shared" si="108"/>
        <v>0</v>
      </c>
    </row>
    <row r="252" spans="1:34" ht="40.5" hidden="1" customHeight="1" x14ac:dyDescent="0.25">
      <c r="A252" s="56" t="s">
        <v>22</v>
      </c>
      <c r="B252" s="54" t="s">
        <v>12</v>
      </c>
      <c r="C252" s="55">
        <v>150289</v>
      </c>
      <c r="D252" s="55">
        <v>17288</v>
      </c>
      <c r="E252" s="55">
        <v>0</v>
      </c>
      <c r="F252" s="55">
        <v>0</v>
      </c>
      <c r="G252" s="55">
        <f t="shared" si="99"/>
        <v>17288</v>
      </c>
      <c r="H252" s="63">
        <v>112434</v>
      </c>
      <c r="I252" s="63">
        <v>0</v>
      </c>
      <c r="J252" s="63">
        <v>0</v>
      </c>
      <c r="K252" s="63">
        <f t="shared" si="100"/>
        <v>112434</v>
      </c>
      <c r="L252" s="63">
        <v>20567</v>
      </c>
      <c r="M252" s="63">
        <v>0</v>
      </c>
      <c r="N252" s="63">
        <v>0</v>
      </c>
      <c r="O252" s="63">
        <f t="shared" si="101"/>
        <v>20567</v>
      </c>
      <c r="R252" s="62">
        <f t="shared" si="102"/>
        <v>150289</v>
      </c>
      <c r="S252" s="62">
        <f t="shared" si="103"/>
        <v>0</v>
      </c>
      <c r="V252" s="62">
        <f t="shared" si="104"/>
        <v>150289</v>
      </c>
      <c r="W252" s="62">
        <f t="shared" si="95"/>
        <v>0</v>
      </c>
      <c r="X252" s="62">
        <f t="shared" si="96"/>
        <v>0</v>
      </c>
      <c r="Y252" s="62">
        <f t="shared" si="105"/>
        <v>150289</v>
      </c>
      <c r="Z252" s="62">
        <f t="shared" si="106"/>
        <v>0</v>
      </c>
      <c r="AC252" s="99">
        <f>'[1]Свод по видам помощи'!D239+'дополн сумма к расх с 01.07.13'!X45</f>
        <v>159225</v>
      </c>
      <c r="AF252" s="98">
        <f t="shared" si="107"/>
        <v>159225</v>
      </c>
      <c r="AH252" s="98">
        <f t="shared" si="108"/>
        <v>8936</v>
      </c>
    </row>
    <row r="253" spans="1:34" ht="39.75" customHeight="1" x14ac:dyDescent="0.25">
      <c r="A253" s="56" t="s">
        <v>23</v>
      </c>
      <c r="B253" s="54" t="s">
        <v>11</v>
      </c>
      <c r="C253" s="55">
        <f>110352+29096</f>
        <v>139448</v>
      </c>
      <c r="D253" s="55">
        <f>4333+1142</f>
        <v>5475</v>
      </c>
      <c r="E253" s="55">
        <f>6814+1796</f>
        <v>8610</v>
      </c>
      <c r="F253" s="55">
        <f>2961+781</f>
        <v>3742</v>
      </c>
      <c r="G253" s="55">
        <f t="shared" si="99"/>
        <v>17827</v>
      </c>
      <c r="H253" s="63">
        <f>22984+6060</f>
        <v>29044</v>
      </c>
      <c r="I253" s="63">
        <f>36149+9530</f>
        <v>45679</v>
      </c>
      <c r="J253" s="63">
        <f>15709+4143</f>
        <v>19852</v>
      </c>
      <c r="K253" s="63">
        <f t="shared" si="100"/>
        <v>94575</v>
      </c>
      <c r="L253" s="63">
        <f>6573+1733</f>
        <v>8306</v>
      </c>
      <c r="M253" s="63">
        <f>10337+2725</f>
        <v>13062</v>
      </c>
      <c r="N253" s="63">
        <f>4492+1186</f>
        <v>5678</v>
      </c>
      <c r="O253" s="63">
        <f t="shared" si="101"/>
        <v>27046</v>
      </c>
      <c r="R253" s="62">
        <f>G253+K253+O253</f>
        <v>139448</v>
      </c>
      <c r="S253" s="62">
        <f>R253-C253</f>
        <v>0</v>
      </c>
      <c r="V253" s="62">
        <f>D253+H253+L253</f>
        <v>42825</v>
      </c>
      <c r="W253" s="62">
        <f t="shared" si="95"/>
        <v>67351</v>
      </c>
      <c r="X253" s="62">
        <f t="shared" si="96"/>
        <v>29272</v>
      </c>
      <c r="Y253" s="62">
        <f t="shared" si="105"/>
        <v>139448</v>
      </c>
      <c r="Z253" s="62">
        <f t="shared" si="106"/>
        <v>0</v>
      </c>
      <c r="AC253" s="99">
        <f>'[1]Свод по видам помощи'!D240+'дополн сумма к расх с 01.07.13'!X45</f>
        <v>42826</v>
      </c>
      <c r="AD253" s="99">
        <f>'[1]Свод по видам помощи'!E240+'дополн сумма к расх с 01.07.13'!Y45</f>
        <v>67352</v>
      </c>
      <c r="AE253" s="99">
        <f>'[1]Свод по видам помощи'!F240+'дополн сумма к расх с 01.07.13'!Z45</f>
        <v>29270</v>
      </c>
      <c r="AF253" s="98">
        <f t="shared" si="107"/>
        <v>139448</v>
      </c>
      <c r="AH253" s="98">
        <f t="shared" si="108"/>
        <v>0</v>
      </c>
    </row>
    <row r="254" spans="1:34" ht="28.5" hidden="1" customHeight="1" x14ac:dyDescent="0.25">
      <c r="A254" s="56" t="s">
        <v>20</v>
      </c>
      <c r="B254" s="54" t="s">
        <v>34</v>
      </c>
      <c r="C254" s="55">
        <v>206367</v>
      </c>
      <c r="D254" s="55">
        <v>38628</v>
      </c>
      <c r="E254" s="55">
        <v>0</v>
      </c>
      <c r="F254" s="55">
        <v>0</v>
      </c>
      <c r="G254" s="55">
        <f t="shared" si="99"/>
        <v>38628</v>
      </c>
      <c r="H254" s="63">
        <v>126084</v>
      </c>
      <c r="I254" s="63">
        <v>0</v>
      </c>
      <c r="J254" s="63">
        <v>0</v>
      </c>
      <c r="K254" s="63">
        <f t="shared" si="100"/>
        <v>126084</v>
      </c>
      <c r="L254" s="63">
        <v>41655</v>
      </c>
      <c r="M254" s="63">
        <v>0</v>
      </c>
      <c r="N254" s="63">
        <v>0</v>
      </c>
      <c r="O254" s="63">
        <f t="shared" si="101"/>
        <v>41655</v>
      </c>
      <c r="R254" s="62">
        <f t="shared" si="102"/>
        <v>206367</v>
      </c>
      <c r="S254" s="62">
        <f t="shared" si="103"/>
        <v>0</v>
      </c>
      <c r="V254" s="62">
        <f t="shared" si="104"/>
        <v>206367</v>
      </c>
      <c r="W254" s="62">
        <f t="shared" si="95"/>
        <v>0</v>
      </c>
      <c r="X254" s="62">
        <f t="shared" si="96"/>
        <v>0</v>
      </c>
      <c r="Y254" s="62">
        <f t="shared" si="105"/>
        <v>206367</v>
      </c>
      <c r="Z254" s="62">
        <f t="shared" si="106"/>
        <v>0</v>
      </c>
      <c r="AC254" s="99">
        <f>'[1]Свод по видам помощи'!D241+'дополн сумма к расх с 01.07.13'!X46</f>
        <v>208411</v>
      </c>
      <c r="AF254" s="98">
        <f t="shared" si="107"/>
        <v>208411</v>
      </c>
      <c r="AH254" s="98">
        <f t="shared" si="108"/>
        <v>2044</v>
      </c>
    </row>
    <row r="255" spans="1:34" ht="34.5" customHeight="1" x14ac:dyDescent="0.25">
      <c r="A255" s="56" t="s">
        <v>22</v>
      </c>
      <c r="B255" s="54" t="s">
        <v>10</v>
      </c>
      <c r="C255" s="55">
        <f>702982+4842</f>
        <v>707824</v>
      </c>
      <c r="D255" s="55">
        <f>15273+105</f>
        <v>15378</v>
      </c>
      <c r="E255" s="55">
        <f>19976+138</f>
        <v>20114</v>
      </c>
      <c r="F255" s="55">
        <f>934+6</f>
        <v>940</v>
      </c>
      <c r="G255" s="55">
        <f t="shared" si="99"/>
        <v>36432</v>
      </c>
      <c r="H255" s="63">
        <f>237537+1636</f>
        <v>239173</v>
      </c>
      <c r="I255" s="63">
        <f>310695+2140</f>
        <v>312835</v>
      </c>
      <c r="J255" s="63">
        <f>14519+100</f>
        <v>14619</v>
      </c>
      <c r="K255" s="63">
        <f t="shared" si="100"/>
        <v>566627</v>
      </c>
      <c r="L255" s="63">
        <f>43918+303</f>
        <v>44221</v>
      </c>
      <c r="M255" s="63">
        <f>57445+396</f>
        <v>57841</v>
      </c>
      <c r="N255" s="63">
        <f>2685+18</f>
        <v>2703</v>
      </c>
      <c r="O255" s="63">
        <f t="shared" si="101"/>
        <v>104765</v>
      </c>
      <c r="R255" s="62">
        <f t="shared" si="102"/>
        <v>707824</v>
      </c>
      <c r="S255" s="62">
        <f t="shared" si="103"/>
        <v>0</v>
      </c>
      <c r="V255" s="62">
        <f t="shared" si="104"/>
        <v>298772</v>
      </c>
      <c r="W255" s="62">
        <f t="shared" si="95"/>
        <v>390790</v>
      </c>
      <c r="X255" s="62">
        <f t="shared" si="96"/>
        <v>18262</v>
      </c>
      <c r="Y255" s="62">
        <f t="shared" si="105"/>
        <v>707824</v>
      </c>
      <c r="Z255" s="62">
        <f t="shared" si="106"/>
        <v>0</v>
      </c>
      <c r="AC255" s="99">
        <f>'[1]Свод по видам помощи'!D242+'дополн сумма к расх с 01.07.13'!X46</f>
        <v>298772</v>
      </c>
      <c r="AD255" s="99">
        <f>'[1]Свод по видам помощи'!E242+'дополн сумма к расх с 01.07.13'!Y46</f>
        <v>390789</v>
      </c>
      <c r="AE255" s="99">
        <f>'[1]Свод по видам помощи'!F242+'дополн сумма к расх с 01.07.13'!Z46</f>
        <v>18263</v>
      </c>
      <c r="AF255" s="98">
        <f t="shared" si="107"/>
        <v>707824</v>
      </c>
      <c r="AH255" s="98">
        <f t="shared" si="108"/>
        <v>0</v>
      </c>
    </row>
    <row r="256" spans="1:34" ht="25.5" customHeight="1" x14ac:dyDescent="0.25">
      <c r="A256" s="56" t="s">
        <v>21</v>
      </c>
      <c r="B256" s="54" t="s">
        <v>9</v>
      </c>
      <c r="C256" s="55">
        <f>329197+157060</f>
        <v>486257</v>
      </c>
      <c r="D256" s="55">
        <f>19370+9604</f>
        <v>28974</v>
      </c>
      <c r="E256" s="55">
        <f>59920+28226</f>
        <v>88146</v>
      </c>
      <c r="F256" s="55">
        <v>0</v>
      </c>
      <c r="G256" s="55">
        <f t="shared" si="99"/>
        <v>117120</v>
      </c>
      <c r="H256" s="63">
        <f>60526+30008</f>
        <v>90534</v>
      </c>
      <c r="I256" s="63">
        <f>187228+88195</f>
        <v>275423</v>
      </c>
      <c r="J256" s="63">
        <v>0</v>
      </c>
      <c r="K256" s="63">
        <f t="shared" si="100"/>
        <v>365957</v>
      </c>
      <c r="L256" s="63">
        <f>526+261</f>
        <v>787</v>
      </c>
      <c r="M256" s="63">
        <f>1627+766</f>
        <v>2393</v>
      </c>
      <c r="N256" s="63">
        <v>0</v>
      </c>
      <c r="O256" s="63">
        <f t="shared" si="101"/>
        <v>3180</v>
      </c>
      <c r="R256" s="62">
        <f t="shared" si="102"/>
        <v>486257</v>
      </c>
      <c r="S256" s="62">
        <f t="shared" si="103"/>
        <v>0</v>
      </c>
      <c r="V256" s="62">
        <f t="shared" si="104"/>
        <v>120295</v>
      </c>
      <c r="W256" s="62">
        <f t="shared" si="95"/>
        <v>365962</v>
      </c>
      <c r="X256" s="62">
        <f t="shared" si="96"/>
        <v>0</v>
      </c>
      <c r="Y256" s="62">
        <f t="shared" si="105"/>
        <v>486257</v>
      </c>
      <c r="Z256" s="62">
        <f t="shared" si="106"/>
        <v>0</v>
      </c>
      <c r="AC256" s="99">
        <f>'[1]Свод по видам помощи'!D243+'дополн сумма к расх с 01.07.13'!X47</f>
        <v>120295</v>
      </c>
      <c r="AD256" s="99">
        <f>'[1]Свод по видам помощи'!E243+'дополн сумма к расх с 01.07.13'!Y47</f>
        <v>365962</v>
      </c>
      <c r="AE256" s="99">
        <f>'[1]Свод по видам помощи'!F243+'дополн сумма к расх с 01.07.13'!Z47</f>
        <v>0</v>
      </c>
      <c r="AF256" s="98">
        <f t="shared" si="107"/>
        <v>486257</v>
      </c>
      <c r="AH256" s="98">
        <f t="shared" si="108"/>
        <v>0</v>
      </c>
    </row>
    <row r="257" spans="1:34" ht="25.5" hidden="1" customHeight="1" x14ac:dyDescent="0.25">
      <c r="A257" s="56" t="s">
        <v>25</v>
      </c>
      <c r="B257" s="54" t="s">
        <v>8</v>
      </c>
      <c r="C257" s="55">
        <v>606623</v>
      </c>
      <c r="D257" s="55">
        <v>5133</v>
      </c>
      <c r="E257" s="55">
        <v>18829</v>
      </c>
      <c r="F257" s="55">
        <v>0</v>
      </c>
      <c r="G257" s="55">
        <f t="shared" si="99"/>
        <v>23962</v>
      </c>
      <c r="H257" s="63">
        <v>83301</v>
      </c>
      <c r="I257" s="63">
        <v>305593</v>
      </c>
      <c r="J257" s="63">
        <v>0</v>
      </c>
      <c r="K257" s="63">
        <f t="shared" si="100"/>
        <v>388894</v>
      </c>
      <c r="L257" s="63">
        <v>41505</v>
      </c>
      <c r="M257" s="63">
        <v>152262</v>
      </c>
      <c r="N257" s="63">
        <v>0</v>
      </c>
      <c r="O257" s="63">
        <f t="shared" si="101"/>
        <v>193767</v>
      </c>
      <c r="R257" s="62">
        <f t="shared" si="102"/>
        <v>606623</v>
      </c>
      <c r="S257" s="62">
        <f t="shared" si="103"/>
        <v>0</v>
      </c>
      <c r="V257" s="62">
        <f t="shared" si="104"/>
        <v>129939</v>
      </c>
      <c r="W257" s="62">
        <f t="shared" si="95"/>
        <v>476684</v>
      </c>
      <c r="X257" s="62">
        <f t="shared" si="96"/>
        <v>0</v>
      </c>
      <c r="Y257" s="62">
        <f t="shared" si="105"/>
        <v>606623</v>
      </c>
      <c r="Z257" s="62">
        <f t="shared" si="106"/>
        <v>0</v>
      </c>
      <c r="AC257" s="99">
        <f>'[1]Свод по видам помощи'!D244+'дополн сумма к расх с 01.07.13'!X48</f>
        <v>429271</v>
      </c>
      <c r="AF257" s="98">
        <f t="shared" si="107"/>
        <v>429271</v>
      </c>
      <c r="AH257" s="98">
        <f t="shared" si="108"/>
        <v>-177352</v>
      </c>
    </row>
    <row r="258" spans="1:34" ht="25.5" hidden="1" customHeight="1" x14ac:dyDescent="0.25">
      <c r="A258" s="56" t="s">
        <v>26</v>
      </c>
      <c r="B258" s="54" t="s">
        <v>7</v>
      </c>
      <c r="C258" s="55">
        <v>588115</v>
      </c>
      <c r="D258" s="55">
        <v>1601</v>
      </c>
      <c r="E258" s="55">
        <v>9144</v>
      </c>
      <c r="F258" s="55">
        <v>0</v>
      </c>
      <c r="G258" s="55">
        <f t="shared" si="99"/>
        <v>10745</v>
      </c>
      <c r="H258" s="63">
        <v>78216</v>
      </c>
      <c r="I258" s="63">
        <v>446724</v>
      </c>
      <c r="J258" s="63">
        <v>0</v>
      </c>
      <c r="K258" s="63">
        <f t="shared" si="100"/>
        <v>524940</v>
      </c>
      <c r="L258" s="63">
        <v>7812</v>
      </c>
      <c r="M258" s="63">
        <v>44618</v>
      </c>
      <c r="N258" s="63">
        <v>0</v>
      </c>
      <c r="O258" s="63">
        <f t="shared" si="101"/>
        <v>52430</v>
      </c>
      <c r="R258" s="62">
        <f t="shared" si="102"/>
        <v>588115</v>
      </c>
      <c r="S258" s="62">
        <f t="shared" si="103"/>
        <v>0</v>
      </c>
      <c r="V258" s="62">
        <f t="shared" si="104"/>
        <v>87629</v>
      </c>
      <c r="W258" s="62">
        <f t="shared" si="95"/>
        <v>500486</v>
      </c>
      <c r="X258" s="62">
        <f t="shared" si="96"/>
        <v>0</v>
      </c>
      <c r="Y258" s="62">
        <f t="shared" si="105"/>
        <v>588115</v>
      </c>
      <c r="Z258" s="62">
        <f t="shared" si="106"/>
        <v>0</v>
      </c>
      <c r="AC258" s="99">
        <f>'[1]Свод по видам помощи'!D245+'дополн сумма к расх с 01.07.13'!X49</f>
        <v>335637</v>
      </c>
      <c r="AF258" s="98">
        <f t="shared" si="107"/>
        <v>335637</v>
      </c>
      <c r="AH258" s="98">
        <f t="shared" si="108"/>
        <v>-252478</v>
      </c>
    </row>
    <row r="259" spans="1:34" ht="25.5" customHeight="1" x14ac:dyDescent="0.25">
      <c r="A259" s="56" t="s">
        <v>20</v>
      </c>
      <c r="B259" s="54" t="s">
        <v>6</v>
      </c>
      <c r="C259" s="55">
        <v>1197846</v>
      </c>
      <c r="D259" s="55">
        <v>4641</v>
      </c>
      <c r="E259" s="55">
        <v>3623</v>
      </c>
      <c r="F259" s="55">
        <v>85</v>
      </c>
      <c r="G259" s="55">
        <f t="shared" si="99"/>
        <v>8349</v>
      </c>
      <c r="H259" s="63">
        <v>660281</v>
      </c>
      <c r="I259" s="63">
        <v>515449</v>
      </c>
      <c r="J259" s="63">
        <v>11970</v>
      </c>
      <c r="K259" s="63">
        <f t="shared" si="100"/>
        <v>1187700</v>
      </c>
      <c r="L259" s="63">
        <v>999</v>
      </c>
      <c r="M259" s="63">
        <v>780</v>
      </c>
      <c r="N259" s="63">
        <v>18</v>
      </c>
      <c r="O259" s="63">
        <f t="shared" si="101"/>
        <v>1797</v>
      </c>
      <c r="R259" s="62">
        <f t="shared" si="102"/>
        <v>1197846</v>
      </c>
      <c r="S259" s="62">
        <f t="shared" si="103"/>
        <v>0</v>
      </c>
      <c r="V259" s="62">
        <f t="shared" si="104"/>
        <v>665921</v>
      </c>
      <c r="W259" s="62">
        <f t="shared" si="95"/>
        <v>519852</v>
      </c>
      <c r="X259" s="62">
        <f t="shared" si="96"/>
        <v>12073</v>
      </c>
      <c r="Y259" s="62">
        <f t="shared" si="105"/>
        <v>1197846</v>
      </c>
      <c r="Z259" s="62">
        <f t="shared" si="106"/>
        <v>0</v>
      </c>
      <c r="AC259" s="99">
        <f>'[1]Свод по видам помощи'!D246+'дополн сумма к расх с 01.07.13'!X48</f>
        <v>525762</v>
      </c>
      <c r="AD259" s="99">
        <f>'[1]Свод по видам помощи'!E246+'дополн сумма к расх с 01.07.13'!Y48</f>
        <v>405709</v>
      </c>
      <c r="AE259" s="99">
        <f>'[1]Свод по видам помощи'!F246+'дополн сумма к расх с 01.07.13'!Z48</f>
        <v>8541</v>
      </c>
      <c r="AF259" s="98">
        <f t="shared" si="107"/>
        <v>940012</v>
      </c>
      <c r="AH259" s="98">
        <f t="shared" si="108"/>
        <v>-257834</v>
      </c>
    </row>
    <row r="260" spans="1:34" ht="25.5" customHeight="1" x14ac:dyDescent="0.25">
      <c r="A260" s="56" t="s">
        <v>19</v>
      </c>
      <c r="B260" s="54" t="s">
        <v>5</v>
      </c>
      <c r="C260" s="55">
        <f>576190+737474</f>
        <v>1313664</v>
      </c>
      <c r="D260" s="55">
        <f>22049+34312</f>
        <v>56361</v>
      </c>
      <c r="E260" s="55">
        <f>54837+64726</f>
        <v>119563</v>
      </c>
      <c r="F260" s="55">
        <f>2830+2992</f>
        <v>5822</v>
      </c>
      <c r="G260" s="55">
        <f t="shared" si="99"/>
        <v>181746</v>
      </c>
      <c r="H260" s="63">
        <f>135988+211615</f>
        <v>347603</v>
      </c>
      <c r="I260" s="63">
        <f>338199+399189</f>
        <v>737388</v>
      </c>
      <c r="J260" s="63">
        <f>17453+18452</f>
        <v>35905</v>
      </c>
      <c r="K260" s="63">
        <f t="shared" si="100"/>
        <v>1120896</v>
      </c>
      <c r="L260" s="63">
        <f>1337+2081</f>
        <v>3418</v>
      </c>
      <c r="M260" s="63">
        <f>3325+3925</f>
        <v>7250</v>
      </c>
      <c r="N260" s="63">
        <f>172+182</f>
        <v>354</v>
      </c>
      <c r="O260" s="63">
        <f t="shared" si="101"/>
        <v>11022</v>
      </c>
      <c r="R260" s="62">
        <f t="shared" si="102"/>
        <v>1313664</v>
      </c>
      <c r="S260" s="62">
        <f t="shared" si="103"/>
        <v>0</v>
      </c>
      <c r="V260" s="62">
        <f t="shared" si="104"/>
        <v>407382</v>
      </c>
      <c r="W260" s="62">
        <f t="shared" si="95"/>
        <v>864201</v>
      </c>
      <c r="X260" s="62">
        <f t="shared" si="96"/>
        <v>42081</v>
      </c>
      <c r="Y260" s="62">
        <f t="shared" si="105"/>
        <v>1313664</v>
      </c>
      <c r="Z260" s="62">
        <f t="shared" si="106"/>
        <v>0</v>
      </c>
      <c r="AC260" s="99">
        <f>'[1]Свод по видам помощи'!D247+'дополн сумма к расх с 01.07.13'!X49</f>
        <v>407382</v>
      </c>
      <c r="AD260" s="99">
        <f>'[1]Свод по видам помощи'!E247+'дополн сумма к расх с 01.07.13'!Y49</f>
        <v>864201</v>
      </c>
      <c r="AE260" s="99">
        <f>'[1]Свод по видам помощи'!F247+'дополн сумма к расх с 01.07.13'!Z49</f>
        <v>42081</v>
      </c>
      <c r="AF260" s="98">
        <f t="shared" si="107"/>
        <v>1313664</v>
      </c>
      <c r="AH260" s="98">
        <f t="shared" si="108"/>
        <v>0</v>
      </c>
    </row>
    <row r="261" spans="1:34" ht="25.5" customHeight="1" x14ac:dyDescent="0.25">
      <c r="A261" s="56" t="s">
        <v>18</v>
      </c>
      <c r="B261" s="54" t="s">
        <v>4</v>
      </c>
      <c r="C261" s="55">
        <f>317154+455492</f>
        <v>772646</v>
      </c>
      <c r="D261" s="55">
        <f>6150+8833</f>
        <v>14983</v>
      </c>
      <c r="E261" s="55">
        <f>10364+14884</f>
        <v>25248</v>
      </c>
      <c r="F261" s="55">
        <f>429+615</f>
        <v>1044</v>
      </c>
      <c r="G261" s="55">
        <f t="shared" si="99"/>
        <v>41275</v>
      </c>
      <c r="H261" s="63">
        <f>105377+151338</f>
        <v>256715</v>
      </c>
      <c r="I261" s="63">
        <f>177573+255035</f>
        <v>432608</v>
      </c>
      <c r="J261" s="63">
        <f>7344+10544</f>
        <v>17888</v>
      </c>
      <c r="K261" s="63">
        <f t="shared" si="100"/>
        <v>707211</v>
      </c>
      <c r="L261" s="63">
        <f>3600+5170</f>
        <v>8770</v>
      </c>
      <c r="M261" s="63">
        <f>6066+8713</f>
        <v>14779</v>
      </c>
      <c r="N261" s="63">
        <f>251+360</f>
        <v>611</v>
      </c>
      <c r="O261" s="63">
        <f t="shared" si="101"/>
        <v>24160</v>
      </c>
      <c r="R261" s="62">
        <f t="shared" si="102"/>
        <v>772646</v>
      </c>
      <c r="S261" s="62">
        <f t="shared" si="103"/>
        <v>0</v>
      </c>
      <c r="V261" s="62">
        <f t="shared" si="104"/>
        <v>280468</v>
      </c>
      <c r="W261" s="62">
        <f t="shared" si="95"/>
        <v>472635</v>
      </c>
      <c r="X261" s="62">
        <f t="shared" si="96"/>
        <v>19543</v>
      </c>
      <c r="Y261" s="62">
        <f t="shared" si="105"/>
        <v>772646</v>
      </c>
      <c r="Z261" s="62">
        <f t="shared" si="106"/>
        <v>0</v>
      </c>
      <c r="AC261" s="99">
        <f>'[1]Свод по видам помощи'!D248+'дополн сумма к расх с 01.07.13'!X50</f>
        <v>280468</v>
      </c>
      <c r="AD261" s="99">
        <f>'[1]Свод по видам помощи'!E248+'дополн сумма к расх с 01.07.13'!Y50</f>
        <v>472634</v>
      </c>
      <c r="AE261" s="99">
        <f>'[1]Свод по видам помощи'!F248+'дополн сумма к расх с 01.07.13'!Z50</f>
        <v>19544</v>
      </c>
      <c r="AF261" s="98">
        <f t="shared" si="107"/>
        <v>772646</v>
      </c>
      <c r="AH261" s="98">
        <f t="shared" si="108"/>
        <v>0</v>
      </c>
    </row>
    <row r="262" spans="1:34" ht="25.5" customHeight="1" x14ac:dyDescent="0.25">
      <c r="A262" s="56" t="s">
        <v>25</v>
      </c>
      <c r="B262" s="54" t="s">
        <v>3</v>
      </c>
      <c r="C262" s="55">
        <f>677961+126227</f>
        <v>804188</v>
      </c>
      <c r="D262" s="55">
        <f>32495+6050</f>
        <v>38545</v>
      </c>
      <c r="E262" s="55">
        <f>15998+2978</f>
        <v>18976</v>
      </c>
      <c r="F262" s="55">
        <f>1500+280</f>
        <v>1780</v>
      </c>
      <c r="G262" s="55">
        <f t="shared" si="99"/>
        <v>59301</v>
      </c>
      <c r="H262" s="63">
        <f>363072+67598</f>
        <v>430670</v>
      </c>
      <c r="I262" s="63">
        <f>178743+33277</f>
        <v>212020</v>
      </c>
      <c r="J262" s="63">
        <f>16757+3124</f>
        <v>19881</v>
      </c>
      <c r="K262" s="63">
        <f t="shared" si="100"/>
        <v>662571</v>
      </c>
      <c r="L262" s="63">
        <f>45107+8398</f>
        <v>53505</v>
      </c>
      <c r="M262" s="63">
        <f>22207+4134</f>
        <v>26341</v>
      </c>
      <c r="N262" s="63">
        <f>2082+388</f>
        <v>2470</v>
      </c>
      <c r="O262" s="63">
        <f t="shared" si="101"/>
        <v>82316</v>
      </c>
      <c r="R262" s="62">
        <f t="shared" si="102"/>
        <v>804188</v>
      </c>
      <c r="S262" s="62">
        <f t="shared" si="103"/>
        <v>0</v>
      </c>
      <c r="V262" s="62">
        <f t="shared" si="104"/>
        <v>522720</v>
      </c>
      <c r="W262" s="62">
        <f t="shared" si="95"/>
        <v>257337</v>
      </c>
      <c r="X262" s="62">
        <f t="shared" si="96"/>
        <v>24131</v>
      </c>
      <c r="Y262" s="62">
        <f t="shared" si="105"/>
        <v>804188</v>
      </c>
      <c r="Z262" s="62">
        <f t="shared" si="106"/>
        <v>0</v>
      </c>
      <c r="AC262" s="99">
        <f>'[1]Свод по видам помощи'!D249+'дополн сумма к расх с 01.07.13'!X51</f>
        <v>522720</v>
      </c>
      <c r="AD262" s="99">
        <f>'[1]Свод по видам помощи'!E249+'дополн сумма к расх с 01.07.13'!Y51</f>
        <v>257337</v>
      </c>
      <c r="AE262" s="99">
        <f>'[1]Свод по видам помощи'!F249+'дополн сумма к расх с 01.07.13'!Z51</f>
        <v>24131</v>
      </c>
      <c r="AF262" s="98">
        <f t="shared" si="107"/>
        <v>804188</v>
      </c>
      <c r="AH262" s="98">
        <f t="shared" si="108"/>
        <v>0</v>
      </c>
    </row>
    <row r="263" spans="1:34" ht="54" hidden="1" customHeight="1" x14ac:dyDescent="0.25">
      <c r="A263" s="56" t="s">
        <v>30</v>
      </c>
      <c r="B263" s="54" t="s">
        <v>2</v>
      </c>
      <c r="C263" s="55">
        <v>39742</v>
      </c>
      <c r="D263" s="55">
        <v>1125</v>
      </c>
      <c r="E263" s="55">
        <v>0</v>
      </c>
      <c r="F263" s="55">
        <v>0</v>
      </c>
      <c r="G263" s="55">
        <f t="shared" si="99"/>
        <v>1125</v>
      </c>
      <c r="H263" s="63">
        <v>33271</v>
      </c>
      <c r="I263" s="63">
        <v>0</v>
      </c>
      <c r="J263" s="63">
        <v>0</v>
      </c>
      <c r="K263" s="63">
        <f t="shared" si="100"/>
        <v>33271</v>
      </c>
      <c r="L263" s="63">
        <v>5346</v>
      </c>
      <c r="M263" s="63">
        <v>0</v>
      </c>
      <c r="N263" s="63">
        <v>0</v>
      </c>
      <c r="O263" s="63">
        <f t="shared" si="101"/>
        <v>5346</v>
      </c>
      <c r="R263" s="62">
        <f t="shared" si="102"/>
        <v>39742</v>
      </c>
      <c r="S263" s="62">
        <f t="shared" si="103"/>
        <v>0</v>
      </c>
      <c r="V263" s="62">
        <f t="shared" si="104"/>
        <v>39742</v>
      </c>
      <c r="W263" s="62">
        <f t="shared" si="95"/>
        <v>0</v>
      </c>
      <c r="X263" s="62">
        <f t="shared" si="96"/>
        <v>0</v>
      </c>
      <c r="Y263" s="62">
        <f t="shared" si="105"/>
        <v>39742</v>
      </c>
      <c r="Z263" s="62">
        <f t="shared" si="106"/>
        <v>0</v>
      </c>
      <c r="AF263" s="98">
        <f t="shared" si="107"/>
        <v>0</v>
      </c>
      <c r="AH263" s="98">
        <f t="shared" si="108"/>
        <v>-39742</v>
      </c>
    </row>
    <row r="264" spans="1:34" ht="39.75" hidden="1" customHeight="1" x14ac:dyDescent="0.25">
      <c r="A264" s="56" t="s">
        <v>31</v>
      </c>
      <c r="B264" s="54" t="s">
        <v>1</v>
      </c>
      <c r="C264" s="55">
        <v>26266</v>
      </c>
      <c r="D264" s="55">
        <v>1954</v>
      </c>
      <c r="E264" s="55">
        <v>0</v>
      </c>
      <c r="F264" s="55">
        <v>0</v>
      </c>
      <c r="G264" s="55">
        <f t="shared" si="99"/>
        <v>1954</v>
      </c>
      <c r="H264" s="63">
        <v>23253</v>
      </c>
      <c r="I264" s="63">
        <v>0</v>
      </c>
      <c r="J264" s="63">
        <v>0</v>
      </c>
      <c r="K264" s="63">
        <f t="shared" si="100"/>
        <v>23253</v>
      </c>
      <c r="L264" s="63">
        <v>1059</v>
      </c>
      <c r="M264" s="63">
        <v>0</v>
      </c>
      <c r="N264" s="63">
        <v>0</v>
      </c>
      <c r="O264" s="63">
        <f t="shared" si="101"/>
        <v>1059</v>
      </c>
      <c r="R264" s="62">
        <f t="shared" si="102"/>
        <v>26266</v>
      </c>
      <c r="S264" s="62">
        <f t="shared" si="103"/>
        <v>0</v>
      </c>
      <c r="V264" s="62">
        <f t="shared" si="104"/>
        <v>26266</v>
      </c>
      <c r="W264" s="62">
        <f t="shared" si="95"/>
        <v>0</v>
      </c>
      <c r="X264" s="62">
        <f t="shared" si="96"/>
        <v>0</v>
      </c>
      <c r="Y264" s="62">
        <f t="shared" si="105"/>
        <v>26266</v>
      </c>
      <c r="Z264" s="62">
        <f t="shared" si="106"/>
        <v>0</v>
      </c>
      <c r="AF264" s="98">
        <f t="shared" si="107"/>
        <v>0</v>
      </c>
      <c r="AH264" s="98">
        <f t="shared" si="108"/>
        <v>-26266</v>
      </c>
    </row>
    <row r="265" spans="1:34" ht="33" hidden="1" customHeight="1" x14ac:dyDescent="0.25">
      <c r="A265" s="56" t="s">
        <v>32</v>
      </c>
      <c r="B265" s="54" t="s">
        <v>73</v>
      </c>
      <c r="C265" s="55">
        <v>21336</v>
      </c>
      <c r="D265" s="55">
        <v>4196</v>
      </c>
      <c r="E265" s="55">
        <v>0</v>
      </c>
      <c r="F265" s="55">
        <v>0</v>
      </c>
      <c r="G265" s="55">
        <f t="shared" si="99"/>
        <v>4196</v>
      </c>
      <c r="H265" s="63">
        <v>13738</v>
      </c>
      <c r="I265" s="63">
        <v>0</v>
      </c>
      <c r="J265" s="63">
        <v>0</v>
      </c>
      <c r="K265" s="63">
        <f t="shared" si="100"/>
        <v>13738</v>
      </c>
      <c r="L265" s="63">
        <v>3402</v>
      </c>
      <c r="M265" s="63">
        <v>0</v>
      </c>
      <c r="N265" s="63">
        <v>0</v>
      </c>
      <c r="O265" s="63">
        <f t="shared" si="101"/>
        <v>3402</v>
      </c>
      <c r="R265" s="62">
        <f t="shared" si="102"/>
        <v>21336</v>
      </c>
      <c r="S265" s="62">
        <f t="shared" si="103"/>
        <v>0</v>
      </c>
      <c r="V265" s="62">
        <f t="shared" si="104"/>
        <v>21336</v>
      </c>
      <c r="W265" s="62">
        <f t="shared" si="95"/>
        <v>0</v>
      </c>
      <c r="X265" s="62">
        <f t="shared" si="96"/>
        <v>0</v>
      </c>
      <c r="Y265" s="62">
        <f t="shared" si="105"/>
        <v>21336</v>
      </c>
      <c r="Z265" s="62">
        <f t="shared" si="106"/>
        <v>0</v>
      </c>
      <c r="AF265" s="98">
        <f t="shared" si="107"/>
        <v>0</v>
      </c>
      <c r="AH265" s="98">
        <f t="shared" si="108"/>
        <v>-21336</v>
      </c>
    </row>
    <row r="266" spans="1:34" ht="33" hidden="1" customHeight="1" x14ac:dyDescent="0.25">
      <c r="A266" s="56" t="s">
        <v>90</v>
      </c>
      <c r="B266" s="70" t="s">
        <v>91</v>
      </c>
      <c r="C266" s="55">
        <f>E266+I266+M266</f>
        <v>61662</v>
      </c>
      <c r="D266" s="55">
        <v>0</v>
      </c>
      <c r="E266" s="55">
        <v>10436</v>
      </c>
      <c r="F266" s="55">
        <v>0</v>
      </c>
      <c r="G266" s="55">
        <f t="shared" si="99"/>
        <v>10436</v>
      </c>
      <c r="H266" s="63">
        <v>0</v>
      </c>
      <c r="I266" s="63">
        <v>34306</v>
      </c>
      <c r="J266" s="63">
        <v>0</v>
      </c>
      <c r="K266" s="63">
        <f t="shared" si="100"/>
        <v>34306</v>
      </c>
      <c r="L266" s="63">
        <v>0</v>
      </c>
      <c r="M266" s="63">
        <v>16920</v>
      </c>
      <c r="N266" s="63">
        <v>0</v>
      </c>
      <c r="O266" s="63">
        <f t="shared" si="101"/>
        <v>16920</v>
      </c>
      <c r="R266" s="62">
        <f t="shared" si="102"/>
        <v>61662</v>
      </c>
      <c r="S266" s="62">
        <f>R266-C266</f>
        <v>0</v>
      </c>
      <c r="V266" s="62">
        <f t="shared" si="104"/>
        <v>0</v>
      </c>
      <c r="W266" s="62">
        <f t="shared" si="95"/>
        <v>61662</v>
      </c>
      <c r="X266" s="62">
        <f t="shared" si="96"/>
        <v>0</v>
      </c>
      <c r="Y266" s="62">
        <f t="shared" si="105"/>
        <v>61662</v>
      </c>
      <c r="Z266" s="62">
        <f t="shared" si="106"/>
        <v>0</v>
      </c>
      <c r="AF266" s="98">
        <f t="shared" si="107"/>
        <v>0</v>
      </c>
      <c r="AH266" s="98">
        <f t="shared" si="108"/>
        <v>-61662</v>
      </c>
    </row>
    <row r="267" spans="1:34" ht="25.5" customHeight="1" x14ac:dyDescent="0.25">
      <c r="A267" s="57"/>
      <c r="B267" s="57" t="s">
        <v>0</v>
      </c>
      <c r="C267" s="58">
        <f>C249+C251+C253+C255+C256+C259+C260+C261+C262</f>
        <v>8527196</v>
      </c>
      <c r="D267" s="58">
        <f>D249+D251+D253+D255+D256+D259+D260+D261+D262</f>
        <v>243885</v>
      </c>
      <c r="E267" s="58">
        <f>E249+E251+E253+E255+E256+E259+E260+E261+E262</f>
        <v>620664</v>
      </c>
      <c r="F267" s="58">
        <f>F249+F251+F253+F255+F256+F259+F260+F261+F262</f>
        <v>13413</v>
      </c>
      <c r="G267" s="58">
        <f>G249+G251+G253+G255+G256+G259+G260+G261+G262</f>
        <v>877962</v>
      </c>
      <c r="H267" s="58">
        <f t="shared" ref="H267:O267" si="109">H249+H251+H253+H255+H256+H259+H260+H261+H262</f>
        <v>2389356</v>
      </c>
      <c r="I267" s="58">
        <f t="shared" si="109"/>
        <v>4364968</v>
      </c>
      <c r="J267" s="58">
        <f t="shared" si="109"/>
        <v>120115</v>
      </c>
      <c r="K267" s="58">
        <f t="shared" si="109"/>
        <v>6874439</v>
      </c>
      <c r="L267" s="58">
        <f t="shared" si="109"/>
        <v>214834</v>
      </c>
      <c r="M267" s="58">
        <f t="shared" si="109"/>
        <v>548127</v>
      </c>
      <c r="N267" s="58">
        <f t="shared" si="109"/>
        <v>11834</v>
      </c>
      <c r="O267" s="58">
        <f t="shared" si="109"/>
        <v>774795</v>
      </c>
      <c r="R267" s="62">
        <f t="shared" si="102"/>
        <v>8527196</v>
      </c>
      <c r="S267" s="62">
        <f t="shared" si="103"/>
        <v>0</v>
      </c>
      <c r="V267" s="62">
        <f t="shared" si="104"/>
        <v>2848075</v>
      </c>
      <c r="W267" s="62">
        <f t="shared" si="95"/>
        <v>5533759</v>
      </c>
      <c r="X267" s="62">
        <f t="shared" si="96"/>
        <v>145362</v>
      </c>
      <c r="Y267" s="62">
        <f t="shared" si="105"/>
        <v>8527196</v>
      </c>
      <c r="Z267" s="62">
        <f t="shared" si="106"/>
        <v>0</v>
      </c>
    </row>
    <row r="269" spans="1:34" s="4" customFormat="1" ht="28.5" customHeight="1" x14ac:dyDescent="0.25">
      <c r="A269" s="152" t="s">
        <v>17</v>
      </c>
      <c r="B269" s="152" t="s">
        <v>33</v>
      </c>
      <c r="C269" s="159" t="s">
        <v>85</v>
      </c>
      <c r="D269" s="152" t="s">
        <v>69</v>
      </c>
      <c r="E269" s="152"/>
      <c r="F269" s="152"/>
      <c r="G269" s="152"/>
      <c r="H269" s="152"/>
      <c r="I269" s="152"/>
      <c r="J269" s="152"/>
      <c r="K269" s="152"/>
      <c r="L269" s="152"/>
      <c r="M269" s="152"/>
      <c r="N269" s="152"/>
      <c r="O269" s="152"/>
      <c r="R269" s="61"/>
      <c r="S269" s="61"/>
      <c r="V269" s="61"/>
      <c r="W269" s="61"/>
      <c r="X269" s="61"/>
      <c r="Y269" s="61"/>
      <c r="Z269" s="61"/>
      <c r="AC269" s="95"/>
      <c r="AD269" s="95"/>
      <c r="AE269" s="95"/>
      <c r="AF269" s="95"/>
      <c r="AG269" s="93"/>
      <c r="AH269" s="95"/>
    </row>
    <row r="270" spans="1:34" s="4" customFormat="1" ht="41.25" customHeight="1" x14ac:dyDescent="0.25">
      <c r="A270" s="152"/>
      <c r="B270" s="152"/>
      <c r="C270" s="159"/>
      <c r="D270" s="154" t="s">
        <v>36</v>
      </c>
      <c r="E270" s="154"/>
      <c r="F270" s="154"/>
      <c r="G270" s="154"/>
      <c r="H270" s="155" t="s">
        <v>37</v>
      </c>
      <c r="I270" s="156"/>
      <c r="J270" s="156"/>
      <c r="K270" s="157"/>
      <c r="L270" s="155" t="s">
        <v>38</v>
      </c>
      <c r="M270" s="156"/>
      <c r="N270" s="156"/>
      <c r="O270" s="157"/>
      <c r="R270" s="61"/>
      <c r="S270" s="61"/>
      <c r="V270" s="61"/>
      <c r="W270" s="61"/>
      <c r="X270" s="61"/>
      <c r="Y270" s="61"/>
      <c r="Z270" s="61"/>
      <c r="AC270" s="95"/>
      <c r="AD270" s="95"/>
      <c r="AE270" s="95"/>
      <c r="AF270" s="95"/>
      <c r="AG270" s="93"/>
      <c r="AH270" s="95"/>
    </row>
    <row r="271" spans="1:34" s="4" customFormat="1" ht="59.25" customHeight="1" x14ac:dyDescent="0.25">
      <c r="A271" s="152"/>
      <c r="B271" s="152"/>
      <c r="C271" s="159"/>
      <c r="D271" s="59" t="s">
        <v>66</v>
      </c>
      <c r="E271" s="59" t="s">
        <v>67</v>
      </c>
      <c r="F271" s="59" t="s">
        <v>68</v>
      </c>
      <c r="G271" s="59" t="s">
        <v>70</v>
      </c>
      <c r="H271" s="65" t="s">
        <v>66</v>
      </c>
      <c r="I271" s="65" t="s">
        <v>67</v>
      </c>
      <c r="J271" s="65" t="s">
        <v>68</v>
      </c>
      <c r="K271" s="65" t="s">
        <v>71</v>
      </c>
      <c r="L271" s="65" t="s">
        <v>66</v>
      </c>
      <c r="M271" s="65" t="s">
        <v>67</v>
      </c>
      <c r="N271" s="65" t="s">
        <v>68</v>
      </c>
      <c r="O271" s="65" t="s">
        <v>72</v>
      </c>
      <c r="R271" s="61"/>
      <c r="S271" s="61"/>
      <c r="V271" s="61" t="s">
        <v>44</v>
      </c>
      <c r="W271" s="61" t="s">
        <v>96</v>
      </c>
      <c r="X271" s="61" t="s">
        <v>97</v>
      </c>
      <c r="Y271" s="61"/>
      <c r="Z271" s="61"/>
      <c r="AC271" s="95"/>
      <c r="AD271" s="95"/>
      <c r="AE271" s="95"/>
      <c r="AF271" s="95"/>
      <c r="AG271" s="93"/>
      <c r="AH271" s="95"/>
    </row>
    <row r="272" spans="1:34" s="3" customFormat="1" ht="14.25" customHeight="1" x14ac:dyDescent="0.25">
      <c r="A272" s="53">
        <v>1</v>
      </c>
      <c r="B272" s="53">
        <v>2</v>
      </c>
      <c r="C272" s="53">
        <v>3</v>
      </c>
      <c r="D272" s="53">
        <v>4</v>
      </c>
      <c r="E272" s="53">
        <v>5</v>
      </c>
      <c r="F272" s="53">
        <v>6</v>
      </c>
      <c r="G272" s="53">
        <v>7</v>
      </c>
      <c r="H272" s="66">
        <v>8</v>
      </c>
      <c r="I272" s="66">
        <v>9</v>
      </c>
      <c r="J272" s="66">
        <v>10</v>
      </c>
      <c r="K272" s="66">
        <v>11</v>
      </c>
      <c r="L272" s="66">
        <v>12</v>
      </c>
      <c r="M272" s="66">
        <v>13</v>
      </c>
      <c r="N272" s="66">
        <v>14</v>
      </c>
      <c r="O272" s="66">
        <v>15</v>
      </c>
      <c r="R272" s="61"/>
      <c r="S272" s="61"/>
      <c r="V272" s="61"/>
      <c r="W272" s="61"/>
      <c r="X272" s="61"/>
      <c r="Y272" s="61"/>
      <c r="Z272" s="61"/>
      <c r="AC272" s="95"/>
      <c r="AD272" s="95"/>
      <c r="AE272" s="95"/>
      <c r="AF272" s="95"/>
      <c r="AG272" s="94"/>
      <c r="AH272" s="95"/>
    </row>
    <row r="273" spans="1:34" s="3" customFormat="1" ht="25.5" customHeight="1" x14ac:dyDescent="0.25">
      <c r="A273" s="53" t="s">
        <v>16</v>
      </c>
      <c r="B273" s="54" t="s">
        <v>15</v>
      </c>
      <c r="C273" s="55">
        <f t="shared" ref="C273:C289" si="110">C200+C224+C249</f>
        <v>9887577</v>
      </c>
      <c r="D273" s="55">
        <f t="shared" ref="D273:N273" si="111">D200+D224+D249</f>
        <v>238233</v>
      </c>
      <c r="E273" s="55">
        <f t="shared" si="111"/>
        <v>1304524</v>
      </c>
      <c r="F273" s="55">
        <f t="shared" si="111"/>
        <v>0</v>
      </c>
      <c r="G273" s="55">
        <f>D273+E273+F273</f>
        <v>1542757</v>
      </c>
      <c r="H273" s="63">
        <f t="shared" si="111"/>
        <v>1004541</v>
      </c>
      <c r="I273" s="63">
        <f t="shared" si="111"/>
        <v>5500695</v>
      </c>
      <c r="J273" s="63">
        <f t="shared" si="111"/>
        <v>0</v>
      </c>
      <c r="K273" s="63">
        <f>H273+I273+J273</f>
        <v>6505236</v>
      </c>
      <c r="L273" s="63">
        <f t="shared" si="111"/>
        <v>284070</v>
      </c>
      <c r="M273" s="63">
        <f t="shared" si="111"/>
        <v>1555514</v>
      </c>
      <c r="N273" s="63">
        <f t="shared" si="111"/>
        <v>0</v>
      </c>
      <c r="O273" s="63">
        <f>L273+M273+N273</f>
        <v>1839584</v>
      </c>
      <c r="R273" s="62">
        <f>G273+K273+O273</f>
        <v>9887577</v>
      </c>
      <c r="S273" s="62">
        <f>R273-C273</f>
        <v>0</v>
      </c>
      <c r="V273" s="62">
        <f>D273+H273+L273</f>
        <v>1526844</v>
      </c>
      <c r="W273" s="62">
        <f t="shared" ref="W273:W291" si="112">E273+I273+M273</f>
        <v>8360733</v>
      </c>
      <c r="X273" s="62">
        <f t="shared" ref="X273:X291" si="113">F273+J273+N273</f>
        <v>0</v>
      </c>
      <c r="Y273" s="62">
        <f>V273+W273+X273</f>
        <v>9887577</v>
      </c>
      <c r="Z273" s="62">
        <f>Y273-C273</f>
        <v>0</v>
      </c>
      <c r="AC273" s="95"/>
      <c r="AD273" s="95"/>
      <c r="AE273" s="95"/>
      <c r="AF273" s="95"/>
      <c r="AG273" s="94"/>
      <c r="AH273" s="95"/>
    </row>
    <row r="274" spans="1:34" ht="40.5" hidden="1" customHeight="1" x14ac:dyDescent="0.25">
      <c r="A274" s="56" t="s">
        <v>24</v>
      </c>
      <c r="B274" s="54" t="s">
        <v>14</v>
      </c>
      <c r="C274" s="55">
        <f t="shared" si="110"/>
        <v>815501</v>
      </c>
      <c r="D274" s="55">
        <f t="shared" ref="D274:F290" si="114">D201+D225+D250</f>
        <v>85886</v>
      </c>
      <c r="E274" s="55">
        <f t="shared" si="114"/>
        <v>80534</v>
      </c>
      <c r="F274" s="55">
        <f t="shared" si="114"/>
        <v>2569</v>
      </c>
      <c r="G274" s="55">
        <f t="shared" ref="G274:G289" si="115">D274+E274+F274</f>
        <v>168989</v>
      </c>
      <c r="H274" s="63">
        <f t="shared" ref="H274:J290" si="116">H201+H225+H250</f>
        <v>252401</v>
      </c>
      <c r="I274" s="63">
        <f t="shared" si="116"/>
        <v>236674</v>
      </c>
      <c r="J274" s="63">
        <f t="shared" si="116"/>
        <v>7548</v>
      </c>
      <c r="K274" s="63">
        <f t="shared" ref="K274:K289" si="117">H274+I274+J274</f>
        <v>496623</v>
      </c>
      <c r="L274" s="63">
        <f t="shared" ref="L274:N290" si="118">L201+L225+L250</f>
        <v>76179</v>
      </c>
      <c r="M274" s="63">
        <f t="shared" si="118"/>
        <v>71432</v>
      </c>
      <c r="N274" s="63">
        <f t="shared" si="118"/>
        <v>2278</v>
      </c>
      <c r="O274" s="63">
        <f t="shared" ref="O274:O289" si="119">L274+M274+N274</f>
        <v>149889</v>
      </c>
      <c r="R274" s="62">
        <f t="shared" ref="R274:R291" si="120">G274+K274+O274</f>
        <v>815501</v>
      </c>
      <c r="S274" s="62">
        <f t="shared" ref="S274:S291" si="121">R274-C274</f>
        <v>0</v>
      </c>
      <c r="V274" s="62">
        <f t="shared" ref="V274:V291" si="122">D274+H274+L274</f>
        <v>414466</v>
      </c>
      <c r="W274" s="62">
        <f t="shared" si="112"/>
        <v>388640</v>
      </c>
      <c r="X274" s="62">
        <f t="shared" si="113"/>
        <v>12395</v>
      </c>
      <c r="Y274" s="62">
        <f t="shared" ref="Y274:Y291" si="123">V274+W274+X274</f>
        <v>815501</v>
      </c>
      <c r="Z274" s="62">
        <f t="shared" ref="Z274:Z291" si="124">Y274-C274</f>
        <v>0</v>
      </c>
    </row>
    <row r="275" spans="1:34" ht="34.5" customHeight="1" x14ac:dyDescent="0.25">
      <c r="A275" s="56" t="s">
        <v>24</v>
      </c>
      <c r="B275" s="54" t="s">
        <v>13</v>
      </c>
      <c r="C275" s="55">
        <f t="shared" si="110"/>
        <v>2227707</v>
      </c>
      <c r="D275" s="55">
        <f t="shared" si="114"/>
        <v>0</v>
      </c>
      <c r="E275" s="55">
        <f t="shared" si="114"/>
        <v>126266</v>
      </c>
      <c r="F275" s="55">
        <f t="shared" si="114"/>
        <v>0</v>
      </c>
      <c r="G275" s="55">
        <f t="shared" si="115"/>
        <v>126266</v>
      </c>
      <c r="H275" s="63">
        <f t="shared" si="116"/>
        <v>0</v>
      </c>
      <c r="I275" s="63">
        <f t="shared" si="116"/>
        <v>1871609</v>
      </c>
      <c r="J275" s="63">
        <f t="shared" si="116"/>
        <v>0</v>
      </c>
      <c r="K275" s="63">
        <f t="shared" si="117"/>
        <v>1871609</v>
      </c>
      <c r="L275" s="63">
        <f t="shared" si="118"/>
        <v>0</v>
      </c>
      <c r="M275" s="63">
        <f t="shared" si="118"/>
        <v>229832</v>
      </c>
      <c r="N275" s="63">
        <f t="shared" si="118"/>
        <v>0</v>
      </c>
      <c r="O275" s="63">
        <f t="shared" si="119"/>
        <v>229832</v>
      </c>
      <c r="R275" s="62">
        <f t="shared" si="120"/>
        <v>2227707</v>
      </c>
      <c r="S275" s="62">
        <f t="shared" si="121"/>
        <v>0</v>
      </c>
      <c r="V275" s="62">
        <f t="shared" si="122"/>
        <v>0</v>
      </c>
      <c r="W275" s="62">
        <f t="shared" si="112"/>
        <v>2227707</v>
      </c>
      <c r="X275" s="62">
        <f t="shared" si="113"/>
        <v>0</v>
      </c>
      <c r="Y275" s="62">
        <f t="shared" si="123"/>
        <v>2227707</v>
      </c>
      <c r="Z275" s="62">
        <f t="shared" si="124"/>
        <v>0</v>
      </c>
    </row>
    <row r="276" spans="1:34" ht="40.5" hidden="1" customHeight="1" x14ac:dyDescent="0.25">
      <c r="A276" s="56" t="s">
        <v>22</v>
      </c>
      <c r="B276" s="54" t="s">
        <v>12</v>
      </c>
      <c r="C276" s="55">
        <f t="shared" si="110"/>
        <v>508752</v>
      </c>
      <c r="D276" s="55">
        <f t="shared" si="114"/>
        <v>58522</v>
      </c>
      <c r="E276" s="55">
        <f t="shared" si="114"/>
        <v>0</v>
      </c>
      <c r="F276" s="55">
        <f t="shared" si="114"/>
        <v>0</v>
      </c>
      <c r="G276" s="55">
        <f t="shared" si="115"/>
        <v>58522</v>
      </c>
      <c r="H276" s="63">
        <f t="shared" si="116"/>
        <v>380607</v>
      </c>
      <c r="I276" s="63">
        <f t="shared" si="116"/>
        <v>0</v>
      </c>
      <c r="J276" s="63">
        <f t="shared" si="116"/>
        <v>0</v>
      </c>
      <c r="K276" s="63">
        <f t="shared" si="117"/>
        <v>380607</v>
      </c>
      <c r="L276" s="63">
        <f t="shared" si="118"/>
        <v>69623</v>
      </c>
      <c r="M276" s="63">
        <f t="shared" si="118"/>
        <v>0</v>
      </c>
      <c r="N276" s="63">
        <f t="shared" si="118"/>
        <v>0</v>
      </c>
      <c r="O276" s="63">
        <f t="shared" si="119"/>
        <v>69623</v>
      </c>
      <c r="R276" s="62">
        <f t="shared" si="120"/>
        <v>508752</v>
      </c>
      <c r="S276" s="62">
        <f t="shared" si="121"/>
        <v>0</v>
      </c>
      <c r="V276" s="62">
        <f t="shared" si="122"/>
        <v>508752</v>
      </c>
      <c r="W276" s="62">
        <f t="shared" si="112"/>
        <v>0</v>
      </c>
      <c r="X276" s="62">
        <f t="shared" si="113"/>
        <v>0</v>
      </c>
      <c r="Y276" s="62">
        <f t="shared" si="123"/>
        <v>508752</v>
      </c>
      <c r="Z276" s="62">
        <f t="shared" si="124"/>
        <v>0</v>
      </c>
    </row>
    <row r="277" spans="1:34" ht="39.75" customHeight="1" x14ac:dyDescent="0.25">
      <c r="A277" s="56" t="s">
        <v>23</v>
      </c>
      <c r="B277" s="54" t="s">
        <v>11</v>
      </c>
      <c r="C277" s="55">
        <f t="shared" si="110"/>
        <v>420829</v>
      </c>
      <c r="D277" s="55">
        <f t="shared" si="114"/>
        <v>16566</v>
      </c>
      <c r="E277" s="55">
        <f t="shared" si="114"/>
        <v>26009</v>
      </c>
      <c r="F277" s="55">
        <f t="shared" si="114"/>
        <v>11225</v>
      </c>
      <c r="G277" s="55">
        <f t="shared" si="115"/>
        <v>53800</v>
      </c>
      <c r="H277" s="63">
        <f t="shared" si="116"/>
        <v>87884</v>
      </c>
      <c r="I277" s="63">
        <f t="shared" si="116"/>
        <v>137977</v>
      </c>
      <c r="J277" s="63">
        <f t="shared" si="116"/>
        <v>59550</v>
      </c>
      <c r="K277" s="63">
        <f t="shared" si="117"/>
        <v>285411</v>
      </c>
      <c r="L277" s="63">
        <f t="shared" si="118"/>
        <v>25132</v>
      </c>
      <c r="M277" s="63">
        <f t="shared" si="118"/>
        <v>39456</v>
      </c>
      <c r="N277" s="63">
        <f t="shared" si="118"/>
        <v>17030</v>
      </c>
      <c r="O277" s="63">
        <f t="shared" si="119"/>
        <v>81618</v>
      </c>
      <c r="R277" s="62">
        <f t="shared" si="120"/>
        <v>420829</v>
      </c>
      <c r="S277" s="62">
        <f t="shared" si="121"/>
        <v>0</v>
      </c>
      <c r="V277" s="62">
        <f t="shared" si="122"/>
        <v>129582</v>
      </c>
      <c r="W277" s="62">
        <f t="shared" si="112"/>
        <v>203442</v>
      </c>
      <c r="X277" s="62">
        <f t="shared" si="113"/>
        <v>87805</v>
      </c>
      <c r="Y277" s="62">
        <f t="shared" si="123"/>
        <v>420829</v>
      </c>
      <c r="Z277" s="62">
        <f t="shared" si="124"/>
        <v>0</v>
      </c>
    </row>
    <row r="278" spans="1:34" ht="28.5" hidden="1" customHeight="1" x14ac:dyDescent="0.25">
      <c r="A278" s="56" t="s">
        <v>20</v>
      </c>
      <c r="B278" s="54" t="s">
        <v>34</v>
      </c>
      <c r="C278" s="55">
        <f t="shared" si="110"/>
        <v>601954</v>
      </c>
      <c r="D278" s="55">
        <f t="shared" si="114"/>
        <v>112674</v>
      </c>
      <c r="E278" s="55">
        <f t="shared" si="114"/>
        <v>0</v>
      </c>
      <c r="F278" s="55">
        <f t="shared" si="114"/>
        <v>0</v>
      </c>
      <c r="G278" s="55">
        <f t="shared" si="115"/>
        <v>112674</v>
      </c>
      <c r="H278" s="63">
        <f t="shared" si="116"/>
        <v>367776</v>
      </c>
      <c r="I278" s="63">
        <f t="shared" si="116"/>
        <v>0</v>
      </c>
      <c r="J278" s="63">
        <f t="shared" si="116"/>
        <v>0</v>
      </c>
      <c r="K278" s="63">
        <f t="shared" si="117"/>
        <v>367776</v>
      </c>
      <c r="L278" s="63">
        <f t="shared" si="118"/>
        <v>121504</v>
      </c>
      <c r="M278" s="63">
        <f t="shared" si="118"/>
        <v>0</v>
      </c>
      <c r="N278" s="63">
        <f t="shared" si="118"/>
        <v>0</v>
      </c>
      <c r="O278" s="63">
        <f t="shared" si="119"/>
        <v>121504</v>
      </c>
      <c r="R278" s="62">
        <f t="shared" si="120"/>
        <v>601954</v>
      </c>
      <c r="S278" s="62">
        <f t="shared" si="121"/>
        <v>0</v>
      </c>
      <c r="V278" s="62">
        <f t="shared" si="122"/>
        <v>601954</v>
      </c>
      <c r="W278" s="62">
        <f t="shared" si="112"/>
        <v>0</v>
      </c>
      <c r="X278" s="62">
        <f t="shared" si="113"/>
        <v>0</v>
      </c>
      <c r="Y278" s="62">
        <f t="shared" si="123"/>
        <v>601954</v>
      </c>
      <c r="Z278" s="62">
        <f t="shared" si="124"/>
        <v>0</v>
      </c>
    </row>
    <row r="279" spans="1:34" ht="34.5" customHeight="1" x14ac:dyDescent="0.25">
      <c r="A279" s="56" t="s">
        <v>22</v>
      </c>
      <c r="B279" s="54" t="s">
        <v>10</v>
      </c>
      <c r="C279" s="55">
        <f t="shared" si="110"/>
        <v>2333198</v>
      </c>
      <c r="D279" s="55">
        <f t="shared" si="114"/>
        <v>50680</v>
      </c>
      <c r="E279" s="55">
        <f t="shared" si="114"/>
        <v>66287</v>
      </c>
      <c r="F279" s="55">
        <f t="shared" si="114"/>
        <v>3122</v>
      </c>
      <c r="G279" s="55">
        <f t="shared" si="115"/>
        <v>120089</v>
      </c>
      <c r="H279" s="63">
        <f t="shared" si="116"/>
        <v>788237</v>
      </c>
      <c r="I279" s="63">
        <f t="shared" si="116"/>
        <v>1030973</v>
      </c>
      <c r="J279" s="63">
        <f t="shared" si="116"/>
        <v>48562</v>
      </c>
      <c r="K279" s="63">
        <f t="shared" si="117"/>
        <v>1867772</v>
      </c>
      <c r="L279" s="63">
        <f t="shared" si="118"/>
        <v>145740</v>
      </c>
      <c r="M279" s="63">
        <f t="shared" si="118"/>
        <v>190619</v>
      </c>
      <c r="N279" s="63">
        <f t="shared" si="118"/>
        <v>8978</v>
      </c>
      <c r="O279" s="63">
        <f t="shared" si="119"/>
        <v>345337</v>
      </c>
      <c r="R279" s="62">
        <f t="shared" si="120"/>
        <v>2333198</v>
      </c>
      <c r="S279" s="62">
        <f t="shared" si="121"/>
        <v>0</v>
      </c>
      <c r="V279" s="62">
        <f t="shared" si="122"/>
        <v>984657</v>
      </c>
      <c r="W279" s="62">
        <f t="shared" si="112"/>
        <v>1287879</v>
      </c>
      <c r="X279" s="62">
        <f t="shared" si="113"/>
        <v>60662</v>
      </c>
      <c r="Y279" s="62">
        <f t="shared" si="123"/>
        <v>2333198</v>
      </c>
      <c r="Z279" s="62">
        <f t="shared" si="124"/>
        <v>0</v>
      </c>
    </row>
    <row r="280" spans="1:34" ht="25.5" customHeight="1" x14ac:dyDescent="0.25">
      <c r="A280" s="56" t="s">
        <v>21</v>
      </c>
      <c r="B280" s="54" t="s">
        <v>9</v>
      </c>
      <c r="C280" s="55">
        <f t="shared" si="110"/>
        <v>1691753</v>
      </c>
      <c r="D280" s="55">
        <f t="shared" si="114"/>
        <v>101477</v>
      </c>
      <c r="E280" s="55">
        <f t="shared" si="114"/>
        <v>306000</v>
      </c>
      <c r="F280" s="55">
        <f t="shared" si="114"/>
        <v>0</v>
      </c>
      <c r="G280" s="55">
        <f t="shared" si="115"/>
        <v>407477</v>
      </c>
      <c r="H280" s="63">
        <f t="shared" si="116"/>
        <v>317077</v>
      </c>
      <c r="I280" s="63">
        <f t="shared" si="116"/>
        <v>956135</v>
      </c>
      <c r="J280" s="63">
        <f t="shared" si="116"/>
        <v>0</v>
      </c>
      <c r="K280" s="63">
        <f t="shared" si="117"/>
        <v>1273212</v>
      </c>
      <c r="L280" s="63">
        <f t="shared" si="118"/>
        <v>2755</v>
      </c>
      <c r="M280" s="63">
        <f t="shared" si="118"/>
        <v>8309</v>
      </c>
      <c r="N280" s="63">
        <f t="shared" si="118"/>
        <v>0</v>
      </c>
      <c r="O280" s="63">
        <f t="shared" si="119"/>
        <v>11064</v>
      </c>
      <c r="R280" s="62">
        <f t="shared" si="120"/>
        <v>1691753</v>
      </c>
      <c r="S280" s="62">
        <f t="shared" si="121"/>
        <v>0</v>
      </c>
      <c r="V280" s="62">
        <f t="shared" si="122"/>
        <v>421309</v>
      </c>
      <c r="W280" s="62">
        <f t="shared" si="112"/>
        <v>1270444</v>
      </c>
      <c r="X280" s="62">
        <f t="shared" si="113"/>
        <v>0</v>
      </c>
      <c r="Y280" s="62">
        <f t="shared" si="123"/>
        <v>1691753</v>
      </c>
      <c r="Z280" s="62">
        <f t="shared" si="124"/>
        <v>0</v>
      </c>
    </row>
    <row r="281" spans="1:34" ht="25.5" hidden="1" customHeight="1" x14ac:dyDescent="0.25">
      <c r="A281" s="56" t="s">
        <v>25</v>
      </c>
      <c r="B281" s="54" t="s">
        <v>8</v>
      </c>
      <c r="C281" s="55">
        <f t="shared" si="110"/>
        <v>2332261</v>
      </c>
      <c r="D281" s="55">
        <f t="shared" si="114"/>
        <v>15874</v>
      </c>
      <c r="E281" s="55">
        <f t="shared" si="114"/>
        <v>76250</v>
      </c>
      <c r="F281" s="55">
        <f t="shared" si="114"/>
        <v>0</v>
      </c>
      <c r="G281" s="55">
        <f t="shared" si="115"/>
        <v>92124</v>
      </c>
      <c r="H281" s="63">
        <f t="shared" si="116"/>
        <v>257621</v>
      </c>
      <c r="I281" s="63">
        <f t="shared" si="116"/>
        <v>1237545</v>
      </c>
      <c r="J281" s="63">
        <f t="shared" si="116"/>
        <v>0</v>
      </c>
      <c r="K281" s="63">
        <f t="shared" si="117"/>
        <v>1495166</v>
      </c>
      <c r="L281" s="63">
        <f t="shared" si="118"/>
        <v>128361</v>
      </c>
      <c r="M281" s="63">
        <f t="shared" si="118"/>
        <v>616610</v>
      </c>
      <c r="N281" s="63">
        <f t="shared" si="118"/>
        <v>0</v>
      </c>
      <c r="O281" s="63">
        <f t="shared" si="119"/>
        <v>744971</v>
      </c>
      <c r="R281" s="62">
        <f t="shared" si="120"/>
        <v>2332261</v>
      </c>
      <c r="S281" s="62">
        <f t="shared" si="121"/>
        <v>0</v>
      </c>
      <c r="V281" s="62">
        <f t="shared" si="122"/>
        <v>401856</v>
      </c>
      <c r="W281" s="62">
        <f t="shared" si="112"/>
        <v>1930405</v>
      </c>
      <c r="X281" s="62">
        <f t="shared" si="113"/>
        <v>0</v>
      </c>
      <c r="Y281" s="62">
        <f t="shared" si="123"/>
        <v>2332261</v>
      </c>
      <c r="Z281" s="62">
        <f t="shared" si="124"/>
        <v>0</v>
      </c>
    </row>
    <row r="282" spans="1:34" ht="25.5" hidden="1" customHeight="1" x14ac:dyDescent="0.25">
      <c r="A282" s="56" t="s">
        <v>26</v>
      </c>
      <c r="B282" s="54" t="s">
        <v>7</v>
      </c>
      <c r="C282" s="55">
        <f t="shared" si="110"/>
        <v>1515871</v>
      </c>
      <c r="D282" s="55">
        <f t="shared" si="114"/>
        <v>3905</v>
      </c>
      <c r="E282" s="55">
        <f t="shared" si="114"/>
        <v>23790</v>
      </c>
      <c r="F282" s="55">
        <f t="shared" si="114"/>
        <v>0</v>
      </c>
      <c r="G282" s="55">
        <f t="shared" si="115"/>
        <v>27695</v>
      </c>
      <c r="H282" s="63">
        <f t="shared" si="116"/>
        <v>190754</v>
      </c>
      <c r="I282" s="63">
        <f t="shared" si="116"/>
        <v>1162282</v>
      </c>
      <c r="J282" s="63">
        <f t="shared" si="116"/>
        <v>0</v>
      </c>
      <c r="K282" s="63">
        <f t="shared" si="117"/>
        <v>1353036</v>
      </c>
      <c r="L282" s="63">
        <f t="shared" si="118"/>
        <v>19052</v>
      </c>
      <c r="M282" s="63">
        <f t="shared" si="118"/>
        <v>116088</v>
      </c>
      <c r="N282" s="63">
        <f t="shared" si="118"/>
        <v>0</v>
      </c>
      <c r="O282" s="63">
        <f t="shared" si="119"/>
        <v>135140</v>
      </c>
      <c r="R282" s="62">
        <f t="shared" si="120"/>
        <v>1515871</v>
      </c>
      <c r="S282" s="62">
        <f t="shared" si="121"/>
        <v>0</v>
      </c>
      <c r="V282" s="62">
        <f t="shared" si="122"/>
        <v>213711</v>
      </c>
      <c r="W282" s="62">
        <f t="shared" si="112"/>
        <v>1302160</v>
      </c>
      <c r="X282" s="62">
        <f t="shared" si="113"/>
        <v>0</v>
      </c>
      <c r="Y282" s="62">
        <f t="shared" si="123"/>
        <v>1515871</v>
      </c>
      <c r="Z282" s="62">
        <f t="shared" si="124"/>
        <v>0</v>
      </c>
    </row>
    <row r="283" spans="1:34" ht="25.5" customHeight="1" x14ac:dyDescent="0.25">
      <c r="A283" s="56" t="s">
        <v>20</v>
      </c>
      <c r="B283" s="54" t="s">
        <v>6</v>
      </c>
      <c r="C283" s="55">
        <f t="shared" si="110"/>
        <v>3069610</v>
      </c>
      <c r="D283" s="55">
        <f t="shared" si="114"/>
        <v>11465</v>
      </c>
      <c r="E283" s="55">
        <f t="shared" si="114"/>
        <v>9702</v>
      </c>
      <c r="F283" s="55">
        <f t="shared" si="114"/>
        <v>230</v>
      </c>
      <c r="G283" s="55">
        <f t="shared" si="115"/>
        <v>21397</v>
      </c>
      <c r="H283" s="63">
        <f t="shared" si="116"/>
        <v>1631059</v>
      </c>
      <c r="I283" s="63">
        <f t="shared" si="116"/>
        <v>1380122</v>
      </c>
      <c r="J283" s="63">
        <f t="shared" si="116"/>
        <v>32428</v>
      </c>
      <c r="K283" s="63">
        <f t="shared" si="117"/>
        <v>3043609</v>
      </c>
      <c r="L283" s="63">
        <f t="shared" si="118"/>
        <v>2467</v>
      </c>
      <c r="M283" s="63">
        <f t="shared" si="118"/>
        <v>2089</v>
      </c>
      <c r="N283" s="63">
        <f t="shared" si="118"/>
        <v>48</v>
      </c>
      <c r="O283" s="63">
        <f t="shared" si="119"/>
        <v>4604</v>
      </c>
      <c r="R283" s="62">
        <f t="shared" si="120"/>
        <v>3069610</v>
      </c>
      <c r="S283" s="62">
        <f t="shared" si="121"/>
        <v>0</v>
      </c>
      <c r="V283" s="62">
        <f t="shared" si="122"/>
        <v>1644991</v>
      </c>
      <c r="W283" s="62">
        <f t="shared" si="112"/>
        <v>1391913</v>
      </c>
      <c r="X283" s="62">
        <f t="shared" si="113"/>
        <v>32706</v>
      </c>
      <c r="Y283" s="62">
        <f t="shared" si="123"/>
        <v>3069610</v>
      </c>
      <c r="Z283" s="62">
        <f t="shared" si="124"/>
        <v>0</v>
      </c>
    </row>
    <row r="284" spans="1:34" ht="25.5" customHeight="1" x14ac:dyDescent="0.25">
      <c r="A284" s="56" t="s">
        <v>19</v>
      </c>
      <c r="B284" s="54" t="s">
        <v>5</v>
      </c>
      <c r="C284" s="55">
        <f t="shared" si="110"/>
        <v>2988261</v>
      </c>
      <c r="D284" s="55">
        <f t="shared" si="114"/>
        <v>117343</v>
      </c>
      <c r="E284" s="55">
        <f t="shared" si="114"/>
        <v>281775</v>
      </c>
      <c r="F284" s="55">
        <f t="shared" si="114"/>
        <v>14308</v>
      </c>
      <c r="G284" s="55">
        <f t="shared" si="115"/>
        <v>413426</v>
      </c>
      <c r="H284" s="63">
        <f t="shared" si="116"/>
        <v>723695</v>
      </c>
      <c r="I284" s="63">
        <f t="shared" si="116"/>
        <v>1737817</v>
      </c>
      <c r="J284" s="63">
        <f t="shared" si="116"/>
        <v>88249</v>
      </c>
      <c r="K284" s="63">
        <f t="shared" si="117"/>
        <v>2549761</v>
      </c>
      <c r="L284" s="63">
        <f t="shared" si="118"/>
        <v>7116</v>
      </c>
      <c r="M284" s="63">
        <f t="shared" si="118"/>
        <v>17087</v>
      </c>
      <c r="N284" s="63">
        <f t="shared" si="118"/>
        <v>871</v>
      </c>
      <c r="O284" s="63">
        <f t="shared" si="119"/>
        <v>25074</v>
      </c>
      <c r="R284" s="62">
        <f t="shared" si="120"/>
        <v>2988261</v>
      </c>
      <c r="S284" s="62">
        <f t="shared" si="121"/>
        <v>0</v>
      </c>
      <c r="V284" s="62">
        <f t="shared" si="122"/>
        <v>848154</v>
      </c>
      <c r="W284" s="62">
        <f t="shared" si="112"/>
        <v>2036679</v>
      </c>
      <c r="X284" s="62">
        <f t="shared" si="113"/>
        <v>103428</v>
      </c>
      <c r="Y284" s="62">
        <f t="shared" si="123"/>
        <v>2988261</v>
      </c>
      <c r="Z284" s="62">
        <f t="shared" si="124"/>
        <v>0</v>
      </c>
    </row>
    <row r="285" spans="1:34" ht="25.5" customHeight="1" x14ac:dyDescent="0.25">
      <c r="A285" s="56" t="s">
        <v>18</v>
      </c>
      <c r="B285" s="54" t="s">
        <v>4</v>
      </c>
      <c r="C285" s="55">
        <f t="shared" si="110"/>
        <v>2265846</v>
      </c>
      <c r="D285" s="55">
        <f t="shared" si="114"/>
        <v>43938</v>
      </c>
      <c r="E285" s="55">
        <f t="shared" si="114"/>
        <v>74043</v>
      </c>
      <c r="F285" s="55">
        <f t="shared" si="114"/>
        <v>3062</v>
      </c>
      <c r="G285" s="55">
        <f t="shared" si="115"/>
        <v>121043</v>
      </c>
      <c r="H285" s="63">
        <f t="shared" si="116"/>
        <v>752837</v>
      </c>
      <c r="I285" s="63">
        <f t="shared" si="116"/>
        <v>1268656</v>
      </c>
      <c r="J285" s="63">
        <f t="shared" si="116"/>
        <v>52460</v>
      </c>
      <c r="K285" s="63">
        <f t="shared" si="117"/>
        <v>2073953</v>
      </c>
      <c r="L285" s="63">
        <f t="shared" si="118"/>
        <v>25718</v>
      </c>
      <c r="M285" s="63">
        <f t="shared" si="118"/>
        <v>43341</v>
      </c>
      <c r="N285" s="63">
        <f t="shared" si="118"/>
        <v>1791</v>
      </c>
      <c r="O285" s="63">
        <f t="shared" si="119"/>
        <v>70850</v>
      </c>
      <c r="R285" s="62">
        <f t="shared" si="120"/>
        <v>2265846</v>
      </c>
      <c r="S285" s="62">
        <f t="shared" si="121"/>
        <v>0</v>
      </c>
      <c r="V285" s="62">
        <f t="shared" si="122"/>
        <v>822493</v>
      </c>
      <c r="W285" s="62">
        <f t="shared" si="112"/>
        <v>1386040</v>
      </c>
      <c r="X285" s="62">
        <f t="shared" si="113"/>
        <v>57313</v>
      </c>
      <c r="Y285" s="62">
        <f t="shared" si="123"/>
        <v>2265846</v>
      </c>
      <c r="Z285" s="62">
        <f t="shared" si="124"/>
        <v>0</v>
      </c>
    </row>
    <row r="286" spans="1:34" ht="25.5" customHeight="1" x14ac:dyDescent="0.25">
      <c r="A286" s="56" t="s">
        <v>25</v>
      </c>
      <c r="B286" s="54" t="s">
        <v>3</v>
      </c>
      <c r="C286" s="55">
        <f t="shared" si="110"/>
        <v>2412560</v>
      </c>
      <c r="D286" s="55">
        <f t="shared" si="114"/>
        <v>115635</v>
      </c>
      <c r="E286" s="55">
        <f t="shared" si="114"/>
        <v>56928</v>
      </c>
      <c r="F286" s="55">
        <f t="shared" si="114"/>
        <v>5340</v>
      </c>
      <c r="G286" s="55">
        <f t="shared" si="115"/>
        <v>177903</v>
      </c>
      <c r="H286" s="63">
        <f t="shared" si="116"/>
        <v>1292008</v>
      </c>
      <c r="I286" s="63">
        <f t="shared" si="116"/>
        <v>636058</v>
      </c>
      <c r="J286" s="63">
        <f t="shared" si="116"/>
        <v>59643</v>
      </c>
      <c r="K286" s="63">
        <f t="shared" si="117"/>
        <v>1987709</v>
      </c>
      <c r="L286" s="63">
        <f t="shared" si="118"/>
        <v>160515</v>
      </c>
      <c r="M286" s="63">
        <f t="shared" si="118"/>
        <v>79023</v>
      </c>
      <c r="N286" s="63">
        <f t="shared" si="118"/>
        <v>7410</v>
      </c>
      <c r="O286" s="63">
        <f t="shared" si="119"/>
        <v>246948</v>
      </c>
      <c r="R286" s="62">
        <f t="shared" si="120"/>
        <v>2412560</v>
      </c>
      <c r="S286" s="62">
        <f t="shared" si="121"/>
        <v>0</v>
      </c>
      <c r="V286" s="62">
        <f t="shared" si="122"/>
        <v>1568158</v>
      </c>
      <c r="W286" s="62">
        <f t="shared" si="112"/>
        <v>772009</v>
      </c>
      <c r="X286" s="62">
        <f t="shared" si="113"/>
        <v>72393</v>
      </c>
      <c r="Y286" s="62">
        <f t="shared" si="123"/>
        <v>2412560</v>
      </c>
      <c r="Z286" s="62">
        <f t="shared" si="124"/>
        <v>0</v>
      </c>
    </row>
    <row r="287" spans="1:34" ht="54" hidden="1" customHeight="1" x14ac:dyDescent="0.25">
      <c r="A287" s="56" t="s">
        <v>30</v>
      </c>
      <c r="B287" s="54" t="s">
        <v>2</v>
      </c>
      <c r="C287" s="55">
        <f t="shared" si="110"/>
        <v>119226</v>
      </c>
      <c r="D287" s="55">
        <f t="shared" si="114"/>
        <v>3375</v>
      </c>
      <c r="E287" s="55">
        <f t="shared" si="114"/>
        <v>0</v>
      </c>
      <c r="F287" s="55">
        <f t="shared" si="114"/>
        <v>0</v>
      </c>
      <c r="G287" s="55">
        <f t="shared" si="115"/>
        <v>3375</v>
      </c>
      <c r="H287" s="63">
        <f t="shared" si="116"/>
        <v>99813</v>
      </c>
      <c r="I287" s="63">
        <f t="shared" si="116"/>
        <v>0</v>
      </c>
      <c r="J287" s="63">
        <f t="shared" si="116"/>
        <v>0</v>
      </c>
      <c r="K287" s="63">
        <f t="shared" si="117"/>
        <v>99813</v>
      </c>
      <c r="L287" s="63">
        <f t="shared" si="118"/>
        <v>16038</v>
      </c>
      <c r="M287" s="63">
        <f t="shared" si="118"/>
        <v>0</v>
      </c>
      <c r="N287" s="63">
        <f t="shared" si="118"/>
        <v>0</v>
      </c>
      <c r="O287" s="63">
        <f t="shared" si="119"/>
        <v>16038</v>
      </c>
      <c r="R287" s="62">
        <f t="shared" si="120"/>
        <v>119226</v>
      </c>
      <c r="S287" s="62">
        <f t="shared" si="121"/>
        <v>0</v>
      </c>
      <c r="V287" s="62">
        <f t="shared" si="122"/>
        <v>119226</v>
      </c>
      <c r="W287" s="62">
        <f t="shared" si="112"/>
        <v>0</v>
      </c>
      <c r="X287" s="62">
        <f t="shared" si="113"/>
        <v>0</v>
      </c>
      <c r="Y287" s="62">
        <f t="shared" si="123"/>
        <v>119226</v>
      </c>
      <c r="Z287" s="62">
        <f t="shared" si="124"/>
        <v>0</v>
      </c>
    </row>
    <row r="288" spans="1:34" ht="39.75" hidden="1" customHeight="1" x14ac:dyDescent="0.25">
      <c r="A288" s="56" t="s">
        <v>31</v>
      </c>
      <c r="B288" s="54" t="s">
        <v>1</v>
      </c>
      <c r="C288" s="55">
        <f t="shared" si="110"/>
        <v>86129</v>
      </c>
      <c r="D288" s="55">
        <f t="shared" si="114"/>
        <v>6407</v>
      </c>
      <c r="E288" s="55">
        <f t="shared" si="114"/>
        <v>0</v>
      </c>
      <c r="F288" s="55">
        <f t="shared" si="114"/>
        <v>0</v>
      </c>
      <c r="G288" s="55">
        <f t="shared" si="115"/>
        <v>6407</v>
      </c>
      <c r="H288" s="63">
        <f t="shared" si="116"/>
        <v>76248</v>
      </c>
      <c r="I288" s="63">
        <f t="shared" si="116"/>
        <v>0</v>
      </c>
      <c r="J288" s="63">
        <f t="shared" si="116"/>
        <v>0</v>
      </c>
      <c r="K288" s="63">
        <f t="shared" si="117"/>
        <v>76248</v>
      </c>
      <c r="L288" s="63">
        <f t="shared" si="118"/>
        <v>3474</v>
      </c>
      <c r="M288" s="63">
        <f t="shared" si="118"/>
        <v>0</v>
      </c>
      <c r="N288" s="63">
        <f t="shared" si="118"/>
        <v>0</v>
      </c>
      <c r="O288" s="63">
        <f t="shared" si="119"/>
        <v>3474</v>
      </c>
      <c r="R288" s="62">
        <f t="shared" si="120"/>
        <v>86129</v>
      </c>
      <c r="S288" s="62">
        <f t="shared" si="121"/>
        <v>0</v>
      </c>
      <c r="V288" s="62">
        <f t="shared" si="122"/>
        <v>86129</v>
      </c>
      <c r="W288" s="62">
        <f t="shared" si="112"/>
        <v>0</v>
      </c>
      <c r="X288" s="62">
        <f t="shared" si="113"/>
        <v>0</v>
      </c>
      <c r="Y288" s="62">
        <f t="shared" si="123"/>
        <v>86129</v>
      </c>
      <c r="Z288" s="62">
        <f t="shared" si="124"/>
        <v>0</v>
      </c>
    </row>
    <row r="289" spans="1:34" ht="33" hidden="1" customHeight="1" x14ac:dyDescent="0.25">
      <c r="A289" s="56" t="s">
        <v>32</v>
      </c>
      <c r="B289" s="54" t="s">
        <v>73</v>
      </c>
      <c r="C289" s="55">
        <f t="shared" si="110"/>
        <v>146768</v>
      </c>
      <c r="D289" s="55">
        <f t="shared" si="114"/>
        <v>28868</v>
      </c>
      <c r="E289" s="55">
        <f t="shared" si="114"/>
        <v>0</v>
      </c>
      <c r="F289" s="55">
        <f t="shared" si="114"/>
        <v>0</v>
      </c>
      <c r="G289" s="55">
        <f t="shared" si="115"/>
        <v>28868</v>
      </c>
      <c r="H289" s="63">
        <f t="shared" si="116"/>
        <v>94498</v>
      </c>
      <c r="I289" s="63">
        <f t="shared" si="116"/>
        <v>0</v>
      </c>
      <c r="J289" s="63">
        <f t="shared" si="116"/>
        <v>0</v>
      </c>
      <c r="K289" s="63">
        <f t="shared" si="117"/>
        <v>94498</v>
      </c>
      <c r="L289" s="63">
        <f t="shared" si="118"/>
        <v>23402</v>
      </c>
      <c r="M289" s="63">
        <f t="shared" si="118"/>
        <v>0</v>
      </c>
      <c r="N289" s="63">
        <f t="shared" si="118"/>
        <v>0</v>
      </c>
      <c r="O289" s="63">
        <f t="shared" si="119"/>
        <v>23402</v>
      </c>
      <c r="R289" s="62">
        <f t="shared" si="120"/>
        <v>146768</v>
      </c>
      <c r="S289" s="62">
        <f t="shared" si="121"/>
        <v>0</v>
      </c>
      <c r="V289" s="62">
        <f t="shared" si="122"/>
        <v>146768</v>
      </c>
      <c r="W289" s="62">
        <f t="shared" si="112"/>
        <v>0</v>
      </c>
      <c r="X289" s="62">
        <f t="shared" si="113"/>
        <v>0</v>
      </c>
      <c r="Y289" s="62">
        <f t="shared" si="123"/>
        <v>146768</v>
      </c>
      <c r="Z289" s="62">
        <f t="shared" si="124"/>
        <v>0</v>
      </c>
    </row>
    <row r="290" spans="1:34" ht="33" hidden="1" customHeight="1" x14ac:dyDescent="0.25">
      <c r="A290" s="56" t="s">
        <v>90</v>
      </c>
      <c r="B290" s="70" t="s">
        <v>91</v>
      </c>
      <c r="C290" s="55">
        <f>E290+I290+M290</f>
        <v>184986</v>
      </c>
      <c r="D290" s="55">
        <f t="shared" si="114"/>
        <v>0</v>
      </c>
      <c r="E290" s="55">
        <f t="shared" si="114"/>
        <v>31308</v>
      </c>
      <c r="F290" s="55">
        <f t="shared" si="114"/>
        <v>0</v>
      </c>
      <c r="G290" s="55">
        <f t="shared" ref="G290" si="125">D290+E290+F290</f>
        <v>31308</v>
      </c>
      <c r="H290" s="63">
        <f t="shared" si="116"/>
        <v>0</v>
      </c>
      <c r="I290" s="63">
        <f t="shared" si="116"/>
        <v>102918</v>
      </c>
      <c r="J290" s="63">
        <f t="shared" si="116"/>
        <v>0</v>
      </c>
      <c r="K290" s="63">
        <f t="shared" ref="K290" si="126">H290+I290+J290</f>
        <v>102918</v>
      </c>
      <c r="L290" s="63">
        <f t="shared" si="118"/>
        <v>0</v>
      </c>
      <c r="M290" s="63">
        <f t="shared" si="118"/>
        <v>50760</v>
      </c>
      <c r="N290" s="63">
        <f t="shared" si="118"/>
        <v>0</v>
      </c>
      <c r="O290" s="63">
        <f t="shared" ref="O290" si="127">L290+M290+N290</f>
        <v>50760</v>
      </c>
      <c r="R290" s="62">
        <f t="shared" si="120"/>
        <v>184986</v>
      </c>
      <c r="S290" s="62">
        <f>R290-C290</f>
        <v>0</v>
      </c>
      <c r="V290" s="62">
        <f t="shared" si="122"/>
        <v>0</v>
      </c>
      <c r="W290" s="62">
        <f t="shared" si="112"/>
        <v>184986</v>
      </c>
      <c r="X290" s="62">
        <f t="shared" si="113"/>
        <v>0</v>
      </c>
      <c r="Y290" s="62">
        <f t="shared" si="123"/>
        <v>184986</v>
      </c>
      <c r="Z290" s="62">
        <f t="shared" si="124"/>
        <v>0</v>
      </c>
    </row>
    <row r="291" spans="1:34" ht="25.5" customHeight="1" x14ac:dyDescent="0.25">
      <c r="A291" s="57"/>
      <c r="B291" s="57" t="s">
        <v>0</v>
      </c>
      <c r="C291" s="58">
        <f>C273+C275+C277+C279+C280+C283+C284+C285+C286</f>
        <v>27297341</v>
      </c>
      <c r="D291" s="58">
        <f t="shared" ref="D291" si="128">D273+D275+D277+D279+D280+D283+D284+D285+D286</f>
        <v>695337</v>
      </c>
      <c r="E291" s="58">
        <f>E273+E275+E277+E279+E280+E283+E284+E285+E286</f>
        <v>2251534</v>
      </c>
      <c r="F291" s="58">
        <f t="shared" ref="F291:O291" si="129">F273+F275+F277+F279+F280+F283+F284+F285+F286</f>
        <v>37287</v>
      </c>
      <c r="G291" s="58">
        <f t="shared" si="129"/>
        <v>2984158</v>
      </c>
      <c r="H291" s="58">
        <f t="shared" si="129"/>
        <v>6597338</v>
      </c>
      <c r="I291" s="58">
        <f t="shared" si="129"/>
        <v>14520042</v>
      </c>
      <c r="J291" s="58">
        <f t="shared" si="129"/>
        <v>340892</v>
      </c>
      <c r="K291" s="58">
        <f t="shared" si="129"/>
        <v>21458272</v>
      </c>
      <c r="L291" s="58">
        <f t="shared" si="129"/>
        <v>653513</v>
      </c>
      <c r="M291" s="58">
        <f t="shared" si="129"/>
        <v>2165270</v>
      </c>
      <c r="N291" s="58">
        <f t="shared" si="129"/>
        <v>36128</v>
      </c>
      <c r="O291" s="58">
        <f t="shared" si="129"/>
        <v>2854911</v>
      </c>
      <c r="R291" s="62">
        <f t="shared" si="120"/>
        <v>27297341</v>
      </c>
      <c r="S291" s="62">
        <f t="shared" si="121"/>
        <v>0</v>
      </c>
      <c r="V291" s="62">
        <f t="shared" si="122"/>
        <v>7946188</v>
      </c>
      <c r="W291" s="62">
        <f t="shared" si="112"/>
        <v>18936846</v>
      </c>
      <c r="X291" s="62">
        <f t="shared" si="113"/>
        <v>414307</v>
      </c>
      <c r="Y291" s="62">
        <f t="shared" si="123"/>
        <v>27297341</v>
      </c>
      <c r="Z291" s="62">
        <f t="shared" si="124"/>
        <v>0</v>
      </c>
    </row>
    <row r="293" spans="1:34" x14ac:dyDescent="0.25">
      <c r="A293" s="161" t="s">
        <v>94</v>
      </c>
      <c r="B293" s="161"/>
      <c r="C293" s="161"/>
      <c r="D293" s="161"/>
      <c r="E293" s="161"/>
      <c r="F293" s="161"/>
      <c r="G293" s="161"/>
      <c r="H293" s="161"/>
      <c r="I293" s="161"/>
      <c r="J293" s="161"/>
      <c r="K293" s="161"/>
      <c r="L293" s="161"/>
      <c r="M293" s="161"/>
      <c r="N293" s="161"/>
      <c r="O293" s="161"/>
    </row>
    <row r="294" spans="1:34" s="4" customFormat="1" ht="28.5" customHeight="1" x14ac:dyDescent="0.25">
      <c r="A294" s="152" t="s">
        <v>17</v>
      </c>
      <c r="B294" s="152" t="s">
        <v>33</v>
      </c>
      <c r="C294" s="152" t="s">
        <v>84</v>
      </c>
      <c r="D294" s="152" t="s">
        <v>69</v>
      </c>
      <c r="E294" s="152"/>
      <c r="F294" s="152"/>
      <c r="G294" s="152"/>
      <c r="H294" s="152"/>
      <c r="I294" s="152"/>
      <c r="J294" s="152"/>
      <c r="K294" s="152"/>
      <c r="L294" s="152"/>
      <c r="M294" s="152"/>
      <c r="N294" s="152"/>
      <c r="O294" s="152"/>
      <c r="R294" s="61"/>
      <c r="S294" s="61"/>
      <c r="V294" s="61"/>
      <c r="W294" s="61"/>
      <c r="X294" s="61"/>
      <c r="Y294" s="61"/>
      <c r="Z294" s="61"/>
      <c r="AC294" s="95"/>
      <c r="AD294" s="95"/>
      <c r="AE294" s="95"/>
      <c r="AF294" s="95"/>
      <c r="AG294" s="93"/>
      <c r="AH294" s="95"/>
    </row>
    <row r="295" spans="1:34" s="4" customFormat="1" ht="41.25" customHeight="1" x14ac:dyDescent="0.25">
      <c r="A295" s="152"/>
      <c r="B295" s="152"/>
      <c r="C295" s="152"/>
      <c r="D295" s="154" t="s">
        <v>36</v>
      </c>
      <c r="E295" s="154"/>
      <c r="F295" s="154"/>
      <c r="G295" s="154"/>
      <c r="H295" s="155" t="s">
        <v>37</v>
      </c>
      <c r="I295" s="156"/>
      <c r="J295" s="156"/>
      <c r="K295" s="157"/>
      <c r="L295" s="155" t="s">
        <v>38</v>
      </c>
      <c r="M295" s="156"/>
      <c r="N295" s="156"/>
      <c r="O295" s="157"/>
      <c r="R295" s="61"/>
      <c r="S295" s="61"/>
      <c r="V295" s="61"/>
      <c r="W295" s="61"/>
      <c r="X295" s="61"/>
      <c r="Y295" s="61"/>
      <c r="Z295" s="61"/>
      <c r="AC295" s="95"/>
      <c r="AD295" s="95"/>
      <c r="AE295" s="95"/>
      <c r="AF295" s="95"/>
      <c r="AG295" s="93"/>
      <c r="AH295" s="95"/>
    </row>
    <row r="296" spans="1:34" s="4" customFormat="1" ht="59.25" customHeight="1" x14ac:dyDescent="0.25">
      <c r="A296" s="152"/>
      <c r="B296" s="152"/>
      <c r="C296" s="152"/>
      <c r="D296" s="59" t="s">
        <v>66</v>
      </c>
      <c r="E296" s="59" t="s">
        <v>67</v>
      </c>
      <c r="F296" s="59" t="s">
        <v>68</v>
      </c>
      <c r="G296" s="59" t="s">
        <v>70</v>
      </c>
      <c r="H296" s="65" t="s">
        <v>66</v>
      </c>
      <c r="I296" s="65" t="s">
        <v>67</v>
      </c>
      <c r="J296" s="65" t="s">
        <v>68</v>
      </c>
      <c r="K296" s="65" t="s">
        <v>71</v>
      </c>
      <c r="L296" s="65" t="s">
        <v>66</v>
      </c>
      <c r="M296" s="65" t="s">
        <v>67</v>
      </c>
      <c r="N296" s="65" t="s">
        <v>68</v>
      </c>
      <c r="O296" s="65" t="s">
        <v>72</v>
      </c>
      <c r="R296" s="61"/>
      <c r="S296" s="61"/>
      <c r="V296" s="61" t="s">
        <v>44</v>
      </c>
      <c r="W296" s="61" t="s">
        <v>96</v>
      </c>
      <c r="X296" s="61" t="s">
        <v>97</v>
      </c>
      <c r="Y296" s="61"/>
      <c r="Z296" s="61"/>
      <c r="AC296" s="95"/>
      <c r="AD296" s="95"/>
      <c r="AE296" s="95"/>
      <c r="AF296" s="95"/>
      <c r="AG296" s="93"/>
      <c r="AH296" s="95"/>
    </row>
    <row r="297" spans="1:34" s="3" customFormat="1" ht="14.25" customHeight="1" x14ac:dyDescent="0.25">
      <c r="A297" s="53">
        <v>1</v>
      </c>
      <c r="B297" s="53">
        <v>2</v>
      </c>
      <c r="C297" s="53">
        <v>3</v>
      </c>
      <c r="D297" s="53">
        <v>4</v>
      </c>
      <c r="E297" s="53">
        <v>5</v>
      </c>
      <c r="F297" s="53">
        <v>6</v>
      </c>
      <c r="G297" s="53">
        <v>7</v>
      </c>
      <c r="H297" s="66">
        <v>8</v>
      </c>
      <c r="I297" s="66">
        <v>9</v>
      </c>
      <c r="J297" s="66">
        <v>10</v>
      </c>
      <c r="K297" s="66">
        <v>11</v>
      </c>
      <c r="L297" s="66">
        <v>12</v>
      </c>
      <c r="M297" s="66">
        <v>13</v>
      </c>
      <c r="N297" s="66">
        <v>14</v>
      </c>
      <c r="O297" s="66">
        <v>15</v>
      </c>
      <c r="R297" s="61"/>
      <c r="S297" s="61"/>
      <c r="V297" s="61"/>
      <c r="W297" s="61"/>
      <c r="X297" s="61"/>
      <c r="Y297" s="61"/>
      <c r="Z297" s="61"/>
      <c r="AC297" s="95"/>
      <c r="AD297" s="95"/>
      <c r="AE297" s="95"/>
      <c r="AF297" s="95"/>
      <c r="AG297" s="94"/>
      <c r="AH297" s="95"/>
    </row>
    <row r="298" spans="1:34" s="3" customFormat="1" ht="25.5" customHeight="1" x14ac:dyDescent="0.25">
      <c r="A298" s="53" t="s">
        <v>16</v>
      </c>
      <c r="B298" s="54" t="s">
        <v>15</v>
      </c>
      <c r="C298" s="55">
        <f>5388736+722405</f>
        <v>6111141</v>
      </c>
      <c r="D298" s="55">
        <f>95180+12751</f>
        <v>107931</v>
      </c>
      <c r="E298" s="55">
        <f>745625+99966</f>
        <v>845591</v>
      </c>
      <c r="F298" s="55">
        <v>0</v>
      </c>
      <c r="G298" s="55">
        <f>D298+E298+F298</f>
        <v>953522</v>
      </c>
      <c r="H298" s="63">
        <f>401334+53764</f>
        <v>455098</v>
      </c>
      <c r="I298" s="63">
        <f>3144023+421521</f>
        <v>3565544</v>
      </c>
      <c r="J298" s="63">
        <v>0</v>
      </c>
      <c r="K298" s="63">
        <f>H298+I298+J298</f>
        <v>4020642</v>
      </c>
      <c r="L298" s="63">
        <f>113491+15203</f>
        <v>128694</v>
      </c>
      <c r="M298" s="63">
        <f>889083+119200</f>
        <v>1008283</v>
      </c>
      <c r="N298" s="63">
        <v>0</v>
      </c>
      <c r="O298" s="63">
        <f>L298+M298+N298</f>
        <v>1136977</v>
      </c>
      <c r="R298" s="62">
        <f>G298+K298+O298</f>
        <v>6111141</v>
      </c>
      <c r="S298" s="62">
        <f>R298-C298</f>
        <v>0</v>
      </c>
      <c r="V298" s="62">
        <f>D298+H298+L298</f>
        <v>691723</v>
      </c>
      <c r="W298" s="62">
        <f t="shared" ref="W298:W316" si="130">E298+I298+M298</f>
        <v>5419418</v>
      </c>
      <c r="X298" s="62">
        <f t="shared" ref="X298:X316" si="131">F298+J298+N298</f>
        <v>0</v>
      </c>
      <c r="Y298" s="62">
        <f>V298+W298+X298</f>
        <v>6111141</v>
      </c>
      <c r="Z298" s="62">
        <f>Y298-C298</f>
        <v>0</v>
      </c>
      <c r="AC298" s="99">
        <f>'[1]Свод по видам помощи'!D282+'дополн сумма к расх с 01.07.13'!X60</f>
        <v>691723</v>
      </c>
      <c r="AD298" s="99">
        <f>'[1]Свод по видам помощи'!E282+'дополн сумма к расх с 01.07.13'!Y60</f>
        <v>5419418</v>
      </c>
      <c r="AE298" s="99">
        <f>'[1]Свод по видам помощи'!F282+'дополн сумма к расх с 01.07.13'!Z60</f>
        <v>0</v>
      </c>
      <c r="AF298" s="98">
        <f t="shared" ref="AF298" si="132">AC298+AD298+AE298</f>
        <v>6111141</v>
      </c>
      <c r="AG298" s="92"/>
      <c r="AH298" s="98">
        <f t="shared" ref="AH298" si="133">AF298-Y298</f>
        <v>0</v>
      </c>
    </row>
    <row r="299" spans="1:34" ht="40.5" hidden="1" customHeight="1" x14ac:dyDescent="0.25">
      <c r="A299" s="56" t="s">
        <v>24</v>
      </c>
      <c r="B299" s="54" t="s">
        <v>14</v>
      </c>
      <c r="C299" s="55">
        <v>284164</v>
      </c>
      <c r="D299" s="55">
        <v>31173</v>
      </c>
      <c r="E299" s="55">
        <v>26857</v>
      </c>
      <c r="F299" s="55">
        <v>854</v>
      </c>
      <c r="G299" s="55">
        <f t="shared" ref="G299:G315" si="134">D299+E299+F299</f>
        <v>58884</v>
      </c>
      <c r="H299" s="63">
        <v>91613</v>
      </c>
      <c r="I299" s="63">
        <v>78928</v>
      </c>
      <c r="J299" s="63">
        <v>2509</v>
      </c>
      <c r="K299" s="63">
        <f t="shared" ref="K299:K315" si="135">H299+I299+J299</f>
        <v>173050</v>
      </c>
      <c r="L299" s="63">
        <v>27650</v>
      </c>
      <c r="M299" s="63">
        <v>23822</v>
      </c>
      <c r="N299" s="63">
        <v>758</v>
      </c>
      <c r="O299" s="63">
        <f t="shared" ref="O299:O315" si="136">L299+M299+N299</f>
        <v>52230</v>
      </c>
      <c r="R299" s="62">
        <f t="shared" ref="R299:R315" si="137">G299+K299+O299</f>
        <v>284164</v>
      </c>
      <c r="S299" s="62">
        <f t="shared" ref="S299:S316" si="138">R299-C299</f>
        <v>0</v>
      </c>
      <c r="V299" s="62">
        <f t="shared" ref="V299:V316" si="139">D299+H299+L299</f>
        <v>150436</v>
      </c>
      <c r="W299" s="62">
        <f t="shared" si="130"/>
        <v>129607</v>
      </c>
      <c r="X299" s="62">
        <f t="shared" si="131"/>
        <v>4121</v>
      </c>
      <c r="Y299" s="62">
        <f t="shared" ref="Y299:Y316" si="140">V299+W299+X299</f>
        <v>284164</v>
      </c>
      <c r="Z299" s="62">
        <f t="shared" ref="Z299:Z316" si="141">Y299-C299</f>
        <v>0</v>
      </c>
      <c r="AC299" s="99">
        <f>'[1]Свод по видам помощи'!D283+'дополн сумма к расх с 01.07.13'!X61</f>
        <v>150436</v>
      </c>
      <c r="AF299" s="98">
        <f t="shared" ref="AF299:AF311" si="142">AC299+AD299+AE299</f>
        <v>150436</v>
      </c>
      <c r="AH299" s="98">
        <f t="shared" ref="AH299:AH311" si="143">AF299-Y299</f>
        <v>-133728</v>
      </c>
    </row>
    <row r="300" spans="1:34" ht="34.5" customHeight="1" x14ac:dyDescent="0.25">
      <c r="A300" s="56" t="s">
        <v>24</v>
      </c>
      <c r="B300" s="54" t="s">
        <v>13</v>
      </c>
      <c r="C300" s="55">
        <f>1695780+58889</f>
        <v>1754669</v>
      </c>
      <c r="D300" s="55">
        <v>0</v>
      </c>
      <c r="E300" s="55">
        <f>96117+3338</f>
        <v>99455</v>
      </c>
      <c r="F300" s="55">
        <v>0</v>
      </c>
      <c r="G300" s="55">
        <f t="shared" si="134"/>
        <v>99455</v>
      </c>
      <c r="H300" s="63">
        <v>0</v>
      </c>
      <c r="I300" s="63">
        <f>1424710+49476</f>
        <v>1474186</v>
      </c>
      <c r="J300" s="63">
        <v>0</v>
      </c>
      <c r="K300" s="63">
        <f t="shared" si="135"/>
        <v>1474186</v>
      </c>
      <c r="L300" s="63">
        <v>0</v>
      </c>
      <c r="M300" s="63">
        <f>174953+6075</f>
        <v>181028</v>
      </c>
      <c r="N300" s="63">
        <v>0</v>
      </c>
      <c r="O300" s="63">
        <f t="shared" si="136"/>
        <v>181028</v>
      </c>
      <c r="R300" s="62">
        <f t="shared" si="137"/>
        <v>1754669</v>
      </c>
      <c r="S300" s="62">
        <f t="shared" si="138"/>
        <v>0</v>
      </c>
      <c r="V300" s="62">
        <f t="shared" si="139"/>
        <v>0</v>
      </c>
      <c r="W300" s="62">
        <f t="shared" si="130"/>
        <v>1754669</v>
      </c>
      <c r="X300" s="62">
        <f t="shared" si="131"/>
        <v>0</v>
      </c>
      <c r="Y300" s="62">
        <f t="shared" si="140"/>
        <v>1754669</v>
      </c>
      <c r="Z300" s="62">
        <f t="shared" si="141"/>
        <v>0</v>
      </c>
      <c r="AC300" s="99">
        <f>'[1]Свод по видам помощи'!D284+'дополн сумма к расх с 01.07.13'!X61</f>
        <v>0</v>
      </c>
      <c r="AD300" s="99">
        <f>'[1]Свод по видам помощи'!E284+'дополн сумма к расх с 01.07.13'!Y61</f>
        <v>1754669</v>
      </c>
      <c r="AE300" s="99">
        <f>'[1]Свод по видам помощи'!F284+'дополн сумма к расх с 01.07.13'!Z61</f>
        <v>0</v>
      </c>
      <c r="AF300" s="98">
        <f t="shared" si="142"/>
        <v>1754669</v>
      </c>
      <c r="AH300" s="98">
        <f t="shared" si="143"/>
        <v>0</v>
      </c>
    </row>
    <row r="301" spans="1:34" ht="40.5" hidden="1" customHeight="1" x14ac:dyDescent="0.25">
      <c r="A301" s="56" t="s">
        <v>22</v>
      </c>
      <c r="B301" s="54" t="s">
        <v>12</v>
      </c>
      <c r="C301" s="55">
        <v>123557</v>
      </c>
      <c r="D301" s="55">
        <v>14213</v>
      </c>
      <c r="E301" s="55">
        <v>0</v>
      </c>
      <c r="F301" s="55">
        <v>0</v>
      </c>
      <c r="G301" s="55">
        <f t="shared" si="134"/>
        <v>14213</v>
      </c>
      <c r="H301" s="63">
        <v>92435</v>
      </c>
      <c r="I301" s="63">
        <v>0</v>
      </c>
      <c r="J301" s="63">
        <v>0</v>
      </c>
      <c r="K301" s="63">
        <f t="shared" si="135"/>
        <v>92435</v>
      </c>
      <c r="L301" s="63">
        <v>16909</v>
      </c>
      <c r="M301" s="63">
        <v>0</v>
      </c>
      <c r="N301" s="63">
        <v>0</v>
      </c>
      <c r="O301" s="63">
        <f t="shared" si="136"/>
        <v>16909</v>
      </c>
      <c r="R301" s="62">
        <f t="shared" si="137"/>
        <v>123557</v>
      </c>
      <c r="S301" s="62">
        <f t="shared" si="138"/>
        <v>0</v>
      </c>
      <c r="V301" s="62">
        <f t="shared" si="139"/>
        <v>123557</v>
      </c>
      <c r="W301" s="62">
        <f t="shared" si="130"/>
        <v>0</v>
      </c>
      <c r="X301" s="62">
        <f t="shared" si="131"/>
        <v>0</v>
      </c>
      <c r="Y301" s="62">
        <f t="shared" si="140"/>
        <v>123557</v>
      </c>
      <c r="Z301" s="62">
        <f t="shared" si="141"/>
        <v>0</v>
      </c>
      <c r="AC301" s="99">
        <f>'[1]Свод по видам помощи'!D285+'дополн сумма к расх с 01.07.13'!X62</f>
        <v>135068</v>
      </c>
      <c r="AF301" s="98">
        <f t="shared" si="142"/>
        <v>135068</v>
      </c>
      <c r="AH301" s="98">
        <f t="shared" si="143"/>
        <v>11511</v>
      </c>
    </row>
    <row r="302" spans="1:34" ht="39.75" customHeight="1" x14ac:dyDescent="0.25">
      <c r="A302" s="56" t="s">
        <v>23</v>
      </c>
      <c r="B302" s="54" t="s">
        <v>11</v>
      </c>
      <c r="C302" s="55">
        <f>142105+37483</f>
        <v>179588</v>
      </c>
      <c r="D302" s="55">
        <f>5576+1472</f>
        <v>7048</v>
      </c>
      <c r="E302" s="55">
        <f>8806+2322</f>
        <v>11128</v>
      </c>
      <c r="F302" s="55">
        <f>3786+999</f>
        <v>4785</v>
      </c>
      <c r="G302" s="55">
        <f t="shared" si="134"/>
        <v>22961</v>
      </c>
      <c r="H302" s="63">
        <f>29578+7807</f>
        <v>37385</v>
      </c>
      <c r="I302" s="63">
        <f>46714+12317</f>
        <v>59031</v>
      </c>
      <c r="J302" s="63">
        <f>20085+5297</f>
        <v>25382</v>
      </c>
      <c r="K302" s="63">
        <f t="shared" si="135"/>
        <v>121798</v>
      </c>
      <c r="L302" s="63">
        <f>8458+2232</f>
        <v>10690</v>
      </c>
      <c r="M302" s="63">
        <f>13358+3522</f>
        <v>16880</v>
      </c>
      <c r="N302" s="63">
        <f>5744+1515</f>
        <v>7259</v>
      </c>
      <c r="O302" s="63">
        <f t="shared" si="136"/>
        <v>34829</v>
      </c>
      <c r="R302" s="62">
        <f t="shared" si="137"/>
        <v>179588</v>
      </c>
      <c r="S302" s="62">
        <f t="shared" si="138"/>
        <v>0</v>
      </c>
      <c r="V302" s="62">
        <f t="shared" si="139"/>
        <v>55123</v>
      </c>
      <c r="W302" s="62">
        <f t="shared" si="130"/>
        <v>87039</v>
      </c>
      <c r="X302" s="62">
        <f t="shared" si="131"/>
        <v>37426</v>
      </c>
      <c r="Y302" s="62">
        <f t="shared" si="140"/>
        <v>179588</v>
      </c>
      <c r="Z302" s="62">
        <f t="shared" si="141"/>
        <v>0</v>
      </c>
      <c r="AC302" s="99">
        <f>'[1]Свод по видам помощи'!D286+'дополн сумма к расх с 01.07.13'!X62</f>
        <v>55123</v>
      </c>
      <c r="AD302" s="99">
        <f>'[1]Свод по видам помощи'!E286+'дополн сумма к расх с 01.07.13'!Y62</f>
        <v>87039</v>
      </c>
      <c r="AE302" s="99">
        <f>'[1]Свод по видам помощи'!F286+'дополн сумма к расх с 01.07.13'!Z62</f>
        <v>37426</v>
      </c>
      <c r="AF302" s="98">
        <f t="shared" si="142"/>
        <v>179588</v>
      </c>
      <c r="AH302" s="98">
        <f t="shared" si="143"/>
        <v>0</v>
      </c>
    </row>
    <row r="303" spans="1:34" ht="28.5" hidden="1" customHeight="1" x14ac:dyDescent="0.25">
      <c r="A303" s="56" t="s">
        <v>20</v>
      </c>
      <c r="B303" s="54" t="s">
        <v>34</v>
      </c>
      <c r="C303" s="55">
        <v>239410</v>
      </c>
      <c r="D303" s="55">
        <v>44813</v>
      </c>
      <c r="E303" s="55">
        <v>0</v>
      </c>
      <c r="F303" s="55">
        <v>0</v>
      </c>
      <c r="G303" s="55">
        <f t="shared" si="134"/>
        <v>44813</v>
      </c>
      <c r="H303" s="63">
        <v>146272</v>
      </c>
      <c r="I303" s="63">
        <v>0</v>
      </c>
      <c r="J303" s="63">
        <v>0</v>
      </c>
      <c r="K303" s="63">
        <f t="shared" si="135"/>
        <v>146272</v>
      </c>
      <c r="L303" s="63">
        <v>48325</v>
      </c>
      <c r="M303" s="63">
        <v>0</v>
      </c>
      <c r="N303" s="63">
        <v>0</v>
      </c>
      <c r="O303" s="63">
        <f t="shared" si="136"/>
        <v>48325</v>
      </c>
      <c r="R303" s="62">
        <f t="shared" si="137"/>
        <v>239410</v>
      </c>
      <c r="S303" s="62">
        <f t="shared" si="138"/>
        <v>0</v>
      </c>
      <c r="V303" s="62">
        <f t="shared" si="139"/>
        <v>239410</v>
      </c>
      <c r="W303" s="62">
        <f t="shared" si="130"/>
        <v>0</v>
      </c>
      <c r="X303" s="62">
        <f t="shared" si="131"/>
        <v>0</v>
      </c>
      <c r="Y303" s="62">
        <f t="shared" si="140"/>
        <v>239410</v>
      </c>
      <c r="Z303" s="62">
        <f t="shared" si="141"/>
        <v>0</v>
      </c>
      <c r="AC303" s="99">
        <f>'[1]Свод по видам помощи'!D287+'дополн сумма к расх с 01.07.13'!X63</f>
        <v>242622</v>
      </c>
      <c r="AF303" s="98">
        <f t="shared" si="142"/>
        <v>242622</v>
      </c>
      <c r="AH303" s="98">
        <f t="shared" si="143"/>
        <v>3212</v>
      </c>
    </row>
    <row r="304" spans="1:34" ht="34.5" customHeight="1" x14ac:dyDescent="0.25">
      <c r="A304" s="56" t="s">
        <v>22</v>
      </c>
      <c r="B304" s="54" t="s">
        <v>10</v>
      </c>
      <c r="C304" s="55">
        <f>1105362+7612</f>
        <v>1112974</v>
      </c>
      <c r="D304" s="55">
        <f>24003+165</f>
        <v>24168</v>
      </c>
      <c r="E304" s="55">
        <f>31394+216</f>
        <v>31610</v>
      </c>
      <c r="F304" s="55">
        <f>1496+10</f>
        <v>1506</v>
      </c>
      <c r="G304" s="55">
        <f t="shared" si="134"/>
        <v>57284</v>
      </c>
      <c r="H304" s="63">
        <f>373324+2571</f>
        <v>375895</v>
      </c>
      <c r="I304" s="63">
        <f>488268+3363</f>
        <v>491631</v>
      </c>
      <c r="J304" s="63">
        <f>23272+160</f>
        <v>23432</v>
      </c>
      <c r="K304" s="63">
        <f t="shared" si="135"/>
        <v>890958</v>
      </c>
      <c r="L304" s="63">
        <f>69025+476</f>
        <v>69501</v>
      </c>
      <c r="M304" s="63">
        <f>90277+622</f>
        <v>90899</v>
      </c>
      <c r="N304" s="63">
        <f>4303+29</f>
        <v>4332</v>
      </c>
      <c r="O304" s="63">
        <f t="shared" si="136"/>
        <v>164732</v>
      </c>
      <c r="R304" s="62">
        <f t="shared" si="137"/>
        <v>1112974</v>
      </c>
      <c r="S304" s="62">
        <f t="shared" si="138"/>
        <v>0</v>
      </c>
      <c r="V304" s="62">
        <f t="shared" si="139"/>
        <v>469564</v>
      </c>
      <c r="W304" s="62">
        <f t="shared" si="130"/>
        <v>614140</v>
      </c>
      <c r="X304" s="62">
        <f t="shared" si="131"/>
        <v>29270</v>
      </c>
      <c r="Y304" s="62">
        <f t="shared" si="140"/>
        <v>1112974</v>
      </c>
      <c r="Z304" s="62">
        <f t="shared" si="141"/>
        <v>0</v>
      </c>
      <c r="AC304" s="99">
        <f>'[1]Свод по видам помощи'!D288+'дополн сумма к расх с 01.07.13'!X63</f>
        <v>469564</v>
      </c>
      <c r="AD304" s="99">
        <f>'[1]Свод по видам помощи'!E288+'дополн сумма к расх с 01.07.13'!Y63</f>
        <v>614140</v>
      </c>
      <c r="AE304" s="99">
        <f>'[1]Свод по видам помощи'!F288+'дополн сумма к расх с 01.07.13'!Z63</f>
        <v>29270</v>
      </c>
      <c r="AF304" s="98">
        <f t="shared" si="142"/>
        <v>1112974</v>
      </c>
      <c r="AH304" s="98">
        <f t="shared" si="143"/>
        <v>0</v>
      </c>
    </row>
    <row r="305" spans="1:34" ht="25.5" customHeight="1" x14ac:dyDescent="0.25">
      <c r="A305" s="56" t="s">
        <v>21</v>
      </c>
      <c r="B305" s="54" t="s">
        <v>9</v>
      </c>
      <c r="C305" s="55">
        <f>896894+431355</f>
        <v>1328249</v>
      </c>
      <c r="D305" s="55">
        <f>89132+44181</f>
        <v>133313</v>
      </c>
      <c r="E305" s="55">
        <f>124107+58421</f>
        <v>182528</v>
      </c>
      <c r="F305" s="55">
        <f>2787+1294</f>
        <v>4081</v>
      </c>
      <c r="G305" s="55">
        <f t="shared" si="134"/>
        <v>319922</v>
      </c>
      <c r="H305" s="63">
        <f>278506+138052</f>
        <v>416558</v>
      </c>
      <c r="I305" s="63">
        <f>387789+182543</f>
        <v>570332</v>
      </c>
      <c r="J305" s="63">
        <f>8707+4043</f>
        <v>12750</v>
      </c>
      <c r="K305" s="63">
        <f t="shared" si="135"/>
        <v>999640</v>
      </c>
      <c r="L305" s="63">
        <f>2420+1200</f>
        <v>3620</v>
      </c>
      <c r="M305" s="63">
        <f>3370+1586</f>
        <v>4956</v>
      </c>
      <c r="N305" s="63">
        <f>76+35</f>
        <v>111</v>
      </c>
      <c r="O305" s="63">
        <f t="shared" si="136"/>
        <v>8687</v>
      </c>
      <c r="R305" s="62">
        <f t="shared" si="137"/>
        <v>1328249</v>
      </c>
      <c r="S305" s="62">
        <f t="shared" si="138"/>
        <v>0</v>
      </c>
      <c r="V305" s="62">
        <f t="shared" si="139"/>
        <v>553491</v>
      </c>
      <c r="W305" s="62">
        <f t="shared" si="130"/>
        <v>757816</v>
      </c>
      <c r="X305" s="62">
        <f t="shared" si="131"/>
        <v>16942</v>
      </c>
      <c r="Y305" s="62">
        <f t="shared" si="140"/>
        <v>1328249</v>
      </c>
      <c r="Z305" s="62">
        <f t="shared" si="141"/>
        <v>0</v>
      </c>
      <c r="AC305" s="99">
        <f>'[1]Свод по видам помощи'!D289+'дополн сумма к расх с 01.07.13'!X64</f>
        <v>553491</v>
      </c>
      <c r="AD305" s="99">
        <f>'[1]Свод по видам помощи'!E289+'дополн сумма к расх с 01.07.13'!Y64</f>
        <v>757816</v>
      </c>
      <c r="AE305" s="99">
        <f>'[1]Свод по видам помощи'!F289+'дополн сумма к расх с 01.07.13'!Z64</f>
        <v>16942</v>
      </c>
      <c r="AF305" s="98">
        <f t="shared" si="142"/>
        <v>1328249</v>
      </c>
      <c r="AH305" s="98">
        <f t="shared" si="143"/>
        <v>0</v>
      </c>
    </row>
    <row r="306" spans="1:34" ht="25.5" hidden="1" customHeight="1" x14ac:dyDescent="0.25">
      <c r="A306" s="56" t="s">
        <v>25</v>
      </c>
      <c r="B306" s="54" t="s">
        <v>8</v>
      </c>
      <c r="C306" s="55">
        <v>1420854</v>
      </c>
      <c r="D306" s="55">
        <v>9536</v>
      </c>
      <c r="E306" s="55">
        <v>46588</v>
      </c>
      <c r="F306" s="55">
        <v>0</v>
      </c>
      <c r="G306" s="55">
        <f t="shared" si="134"/>
        <v>56124</v>
      </c>
      <c r="H306" s="63">
        <v>154759</v>
      </c>
      <c r="I306" s="63">
        <v>756122</v>
      </c>
      <c r="J306" s="63">
        <v>0</v>
      </c>
      <c r="K306" s="63">
        <f t="shared" si="135"/>
        <v>910881</v>
      </c>
      <c r="L306" s="63">
        <v>77109</v>
      </c>
      <c r="M306" s="63">
        <v>376740</v>
      </c>
      <c r="N306" s="63">
        <v>0</v>
      </c>
      <c r="O306" s="63">
        <f t="shared" si="136"/>
        <v>453849</v>
      </c>
      <c r="R306" s="62">
        <f t="shared" si="137"/>
        <v>1420854</v>
      </c>
      <c r="S306" s="62">
        <f t="shared" si="138"/>
        <v>0</v>
      </c>
      <c r="V306" s="62">
        <f t="shared" si="139"/>
        <v>241404</v>
      </c>
      <c r="W306" s="62">
        <f t="shared" si="130"/>
        <v>1179450</v>
      </c>
      <c r="X306" s="62">
        <f t="shared" si="131"/>
        <v>0</v>
      </c>
      <c r="Y306" s="62">
        <f t="shared" si="140"/>
        <v>1420854</v>
      </c>
      <c r="Z306" s="62">
        <f t="shared" si="141"/>
        <v>0</v>
      </c>
      <c r="AC306" s="99">
        <f>'[1]Свод по видам помощи'!D290+'дополн сумма к расх с 01.07.13'!X65</f>
        <v>551883</v>
      </c>
      <c r="AF306" s="98">
        <f t="shared" si="142"/>
        <v>551883</v>
      </c>
      <c r="AH306" s="98">
        <f t="shared" si="143"/>
        <v>-868971</v>
      </c>
    </row>
    <row r="307" spans="1:34" ht="25.5" hidden="1" customHeight="1" x14ac:dyDescent="0.25">
      <c r="A307" s="56" t="s">
        <v>26</v>
      </c>
      <c r="B307" s="54" t="s">
        <v>7</v>
      </c>
      <c r="C307" s="55">
        <v>703414</v>
      </c>
      <c r="D307" s="55">
        <v>1604</v>
      </c>
      <c r="E307" s="55">
        <v>11248</v>
      </c>
      <c r="F307" s="55">
        <v>0</v>
      </c>
      <c r="G307" s="55">
        <f t="shared" si="134"/>
        <v>12852</v>
      </c>
      <c r="H307" s="63">
        <v>78356</v>
      </c>
      <c r="I307" s="63">
        <v>549497</v>
      </c>
      <c r="J307" s="63">
        <v>0</v>
      </c>
      <c r="K307" s="63">
        <f t="shared" si="135"/>
        <v>627853</v>
      </c>
      <c r="L307" s="63">
        <v>7826</v>
      </c>
      <c r="M307" s="63">
        <v>54883</v>
      </c>
      <c r="N307" s="63">
        <v>0</v>
      </c>
      <c r="O307" s="63">
        <f t="shared" si="136"/>
        <v>62709</v>
      </c>
      <c r="R307" s="62">
        <f t="shared" si="137"/>
        <v>703414</v>
      </c>
      <c r="S307" s="62">
        <f t="shared" si="138"/>
        <v>0</v>
      </c>
      <c r="V307" s="62">
        <f t="shared" si="139"/>
        <v>87786</v>
      </c>
      <c r="W307" s="62">
        <f t="shared" si="130"/>
        <v>615628</v>
      </c>
      <c r="X307" s="62">
        <f t="shared" si="131"/>
        <v>0</v>
      </c>
      <c r="Y307" s="62">
        <f t="shared" si="140"/>
        <v>703414</v>
      </c>
      <c r="Z307" s="62">
        <f t="shared" si="141"/>
        <v>0</v>
      </c>
      <c r="AC307" s="99">
        <f>'[1]Свод по видам помощи'!D291+'дополн сумма к расх с 01.07.13'!X66</f>
        <v>322729</v>
      </c>
      <c r="AF307" s="98">
        <f t="shared" si="142"/>
        <v>322729</v>
      </c>
      <c r="AH307" s="98">
        <f t="shared" si="143"/>
        <v>-380685</v>
      </c>
    </row>
    <row r="308" spans="1:34" ht="25.5" customHeight="1" x14ac:dyDescent="0.25">
      <c r="A308" s="56" t="s">
        <v>20</v>
      </c>
      <c r="B308" s="54" t="s">
        <v>6</v>
      </c>
      <c r="C308" s="55">
        <f>458896+622839</f>
        <v>1081735</v>
      </c>
      <c r="D308" s="55">
        <f>1637+2164</f>
        <v>3801</v>
      </c>
      <c r="E308" s="55">
        <f>1521+2123</f>
        <v>3644</v>
      </c>
      <c r="F308" s="55">
        <f>41+54</f>
        <v>95</v>
      </c>
      <c r="G308" s="55">
        <f t="shared" si="134"/>
        <v>7540</v>
      </c>
      <c r="H308" s="63">
        <f>232783+307849</f>
        <v>540632</v>
      </c>
      <c r="I308" s="63">
        <f>216402+301986</f>
        <v>518388</v>
      </c>
      <c r="J308" s="63">
        <f>5824+7728</f>
        <v>13552</v>
      </c>
      <c r="K308" s="63">
        <f t="shared" si="135"/>
        <v>1072572</v>
      </c>
      <c r="L308" s="63">
        <f>352+466</f>
        <v>818</v>
      </c>
      <c r="M308" s="63">
        <f>327+457</f>
        <v>784</v>
      </c>
      <c r="N308" s="63">
        <f>9+12</f>
        <v>21</v>
      </c>
      <c r="O308" s="63">
        <f t="shared" si="136"/>
        <v>1623</v>
      </c>
      <c r="R308" s="62">
        <f t="shared" si="137"/>
        <v>1081735</v>
      </c>
      <c r="S308" s="62">
        <f t="shared" si="138"/>
        <v>0</v>
      </c>
      <c r="V308" s="62">
        <f t="shared" si="139"/>
        <v>545251</v>
      </c>
      <c r="W308" s="62">
        <f t="shared" si="130"/>
        <v>522816</v>
      </c>
      <c r="X308" s="62">
        <f t="shared" si="131"/>
        <v>13668</v>
      </c>
      <c r="Y308" s="62">
        <f t="shared" si="140"/>
        <v>1081735</v>
      </c>
      <c r="Z308" s="62">
        <f t="shared" si="141"/>
        <v>0</v>
      </c>
      <c r="AC308" s="99">
        <f>'[1]Свод по видам помощи'!D292+'дополн сумма к расх с 01.07.13'!X65</f>
        <v>545251</v>
      </c>
      <c r="AD308" s="99">
        <f>'[1]Свод по видам помощи'!E292+'дополн сумма к расх с 01.07.13'!Y65</f>
        <v>522816</v>
      </c>
      <c r="AE308" s="99">
        <f>'[1]Свод по видам помощи'!F292+'дополн сумма к расх с 01.07.13'!Z65</f>
        <v>13668</v>
      </c>
      <c r="AF308" s="98">
        <f t="shared" si="142"/>
        <v>1081735</v>
      </c>
      <c r="AH308" s="98">
        <f t="shared" si="143"/>
        <v>0</v>
      </c>
    </row>
    <row r="309" spans="1:34" ht="25.5" customHeight="1" x14ac:dyDescent="0.25">
      <c r="A309" s="56" t="s">
        <v>19</v>
      </c>
      <c r="B309" s="54" t="s">
        <v>5</v>
      </c>
      <c r="C309" s="55">
        <f>728497+913326</f>
        <v>1641823</v>
      </c>
      <c r="D309" s="55">
        <f>20853+32504</f>
        <v>53357</v>
      </c>
      <c r="E309" s="55">
        <f>75077+88715</f>
        <v>163792</v>
      </c>
      <c r="F309" s="55">
        <f>4857+5139</f>
        <v>9996</v>
      </c>
      <c r="G309" s="55">
        <f t="shared" si="134"/>
        <v>227145</v>
      </c>
      <c r="H309" s="63">
        <f>128609+200468</f>
        <v>329077</v>
      </c>
      <c r="I309" s="63">
        <f>463028+547141</f>
        <v>1010169</v>
      </c>
      <c r="J309" s="63">
        <f>29961+31696</f>
        <v>61657</v>
      </c>
      <c r="K309" s="63">
        <f t="shared" si="135"/>
        <v>1400903</v>
      </c>
      <c r="L309" s="63">
        <f>1264+1971</f>
        <v>3235</v>
      </c>
      <c r="M309" s="63">
        <f>4553+5380</f>
        <v>9933</v>
      </c>
      <c r="N309" s="63">
        <f>295+312</f>
        <v>607</v>
      </c>
      <c r="O309" s="63">
        <f t="shared" si="136"/>
        <v>13775</v>
      </c>
      <c r="R309" s="62">
        <f t="shared" si="137"/>
        <v>1641823</v>
      </c>
      <c r="S309" s="62">
        <f t="shared" si="138"/>
        <v>0</v>
      </c>
      <c r="V309" s="62">
        <f t="shared" si="139"/>
        <v>385669</v>
      </c>
      <c r="W309" s="62">
        <f t="shared" si="130"/>
        <v>1183894</v>
      </c>
      <c r="X309" s="62">
        <f t="shared" si="131"/>
        <v>72260</v>
      </c>
      <c r="Y309" s="62">
        <f t="shared" si="140"/>
        <v>1641823</v>
      </c>
      <c r="Z309" s="62">
        <f t="shared" si="141"/>
        <v>0</v>
      </c>
      <c r="AC309" s="99">
        <f>'[1]Свод по видам помощи'!D293+'дополн сумма к расх с 01.07.13'!X66</f>
        <v>385669</v>
      </c>
      <c r="AD309" s="99">
        <f>'[1]Свод по видам помощи'!E293+'дополн сумма к расх с 01.07.13'!Y66</f>
        <v>1183894</v>
      </c>
      <c r="AE309" s="99">
        <f>'[1]Свод по видам помощи'!F293+'дополн сумма к расх с 01.07.13'!Z66</f>
        <v>72260</v>
      </c>
      <c r="AF309" s="98">
        <f t="shared" si="142"/>
        <v>1641823</v>
      </c>
      <c r="AH309" s="98">
        <f t="shared" si="143"/>
        <v>0</v>
      </c>
    </row>
    <row r="310" spans="1:34" ht="25.5" customHeight="1" x14ac:dyDescent="0.25">
      <c r="A310" s="56" t="s">
        <v>18</v>
      </c>
      <c r="B310" s="54" t="s">
        <v>4</v>
      </c>
      <c r="C310" s="55">
        <f>470406+675441</f>
        <v>1145847</v>
      </c>
      <c r="D310" s="55">
        <f>9122+13098</f>
        <v>22220</v>
      </c>
      <c r="E310" s="55">
        <f>15371+22072</f>
        <v>37443</v>
      </c>
      <c r="F310" s="55">
        <f>636+913</f>
        <v>1549</v>
      </c>
      <c r="G310" s="55">
        <f t="shared" si="134"/>
        <v>61212</v>
      </c>
      <c r="H310" s="63">
        <f>156296+224415</f>
        <v>380711</v>
      </c>
      <c r="I310" s="63">
        <f>263378+378186</f>
        <v>641564</v>
      </c>
      <c r="J310" s="63">
        <f>10893+15636</f>
        <v>26529</v>
      </c>
      <c r="K310" s="63">
        <f t="shared" si="135"/>
        <v>1048804</v>
      </c>
      <c r="L310" s="63">
        <f>5340+7667</f>
        <v>13007</v>
      </c>
      <c r="M310" s="63">
        <f>8998+12920</f>
        <v>21918</v>
      </c>
      <c r="N310" s="63">
        <f>372+534</f>
        <v>906</v>
      </c>
      <c r="O310" s="63">
        <f t="shared" si="136"/>
        <v>35831</v>
      </c>
      <c r="R310" s="62">
        <f t="shared" si="137"/>
        <v>1145847</v>
      </c>
      <c r="S310" s="62">
        <f t="shared" si="138"/>
        <v>0</v>
      </c>
      <c r="V310" s="62">
        <f t="shared" si="139"/>
        <v>415938</v>
      </c>
      <c r="W310" s="62">
        <f t="shared" si="130"/>
        <v>700925</v>
      </c>
      <c r="X310" s="62">
        <f t="shared" si="131"/>
        <v>28984</v>
      </c>
      <c r="Y310" s="62">
        <f t="shared" si="140"/>
        <v>1145847</v>
      </c>
      <c r="Z310" s="62">
        <f t="shared" si="141"/>
        <v>0</v>
      </c>
      <c r="AC310" s="99">
        <f>'[1]Свод по видам помощи'!D294+'дополн сумма к расх с 01.07.13'!X67</f>
        <v>415939</v>
      </c>
      <c r="AD310" s="99">
        <f>'[1]Свод по видам помощи'!E294+'дополн сумма к расх с 01.07.13'!Y67</f>
        <v>700924</v>
      </c>
      <c r="AE310" s="99">
        <f>'[1]Свод по видам помощи'!F294+'дополн сумма к расх с 01.07.13'!Z67</f>
        <v>28984</v>
      </c>
      <c r="AF310" s="98">
        <f t="shared" si="142"/>
        <v>1145847</v>
      </c>
      <c r="AH310" s="98">
        <f t="shared" si="143"/>
        <v>0</v>
      </c>
    </row>
    <row r="311" spans="1:34" ht="25.5" customHeight="1" x14ac:dyDescent="0.25">
      <c r="A311" s="56" t="s">
        <v>25</v>
      </c>
      <c r="B311" s="54" t="s">
        <v>3</v>
      </c>
      <c r="C311" s="55">
        <f>912752+170050</f>
        <v>1082802</v>
      </c>
      <c r="D311" s="55">
        <f>43749+8151</f>
        <v>51900</v>
      </c>
      <c r="E311" s="55">
        <f>21538+4012</f>
        <v>25550</v>
      </c>
      <c r="F311" s="55">
        <f>2019+377</f>
        <v>2396</v>
      </c>
      <c r="G311" s="55">
        <f t="shared" si="134"/>
        <v>79846</v>
      </c>
      <c r="H311" s="63">
        <f>488811+91066</f>
        <v>579877</v>
      </c>
      <c r="I311" s="63">
        <f>240645+44829</f>
        <v>285474</v>
      </c>
      <c r="J311" s="63">
        <f>22561+4208</f>
        <v>26769</v>
      </c>
      <c r="K311" s="63">
        <f t="shared" si="135"/>
        <v>892120</v>
      </c>
      <c r="L311" s="63">
        <f>60729+11314</f>
        <v>72043</v>
      </c>
      <c r="M311" s="63">
        <f>29897+5570</f>
        <v>35467</v>
      </c>
      <c r="N311" s="63">
        <f>2803+523</f>
        <v>3326</v>
      </c>
      <c r="O311" s="63">
        <f t="shared" si="136"/>
        <v>110836</v>
      </c>
      <c r="R311" s="62">
        <f t="shared" si="137"/>
        <v>1082802</v>
      </c>
      <c r="S311" s="62">
        <f t="shared" si="138"/>
        <v>0</v>
      </c>
      <c r="V311" s="62">
        <f t="shared" si="139"/>
        <v>703820</v>
      </c>
      <c r="W311" s="62">
        <f t="shared" si="130"/>
        <v>346491</v>
      </c>
      <c r="X311" s="62">
        <f t="shared" si="131"/>
        <v>32491</v>
      </c>
      <c r="Y311" s="62">
        <f t="shared" si="140"/>
        <v>1082802</v>
      </c>
      <c r="Z311" s="62">
        <f t="shared" si="141"/>
        <v>0</v>
      </c>
      <c r="AC311" s="99">
        <f>'[1]Свод по видам помощи'!D295+'дополн сумма к расх с 01.07.13'!X68</f>
        <v>703820</v>
      </c>
      <c r="AD311" s="99">
        <f>'[1]Свод по видам помощи'!E295+'дополн сумма к расх с 01.07.13'!Y68</f>
        <v>346491</v>
      </c>
      <c r="AE311" s="99">
        <f>'[1]Свод по видам помощи'!F295+'дополн сумма к расх с 01.07.13'!Z68</f>
        <v>32491</v>
      </c>
      <c r="AF311" s="98">
        <f t="shared" si="142"/>
        <v>1082802</v>
      </c>
      <c r="AH311" s="98">
        <f t="shared" si="143"/>
        <v>0</v>
      </c>
    </row>
    <row r="312" spans="1:34" ht="54" hidden="1" customHeight="1" x14ac:dyDescent="0.25">
      <c r="A312" s="56" t="s">
        <v>30</v>
      </c>
      <c r="B312" s="54" t="s">
        <v>2</v>
      </c>
      <c r="C312" s="55">
        <v>97209</v>
      </c>
      <c r="D312" s="55">
        <v>2753</v>
      </c>
      <c r="E312" s="55">
        <v>0</v>
      </c>
      <c r="F312" s="55">
        <v>0</v>
      </c>
      <c r="G312" s="55">
        <f t="shared" si="134"/>
        <v>2753</v>
      </c>
      <c r="H312" s="63">
        <v>81380</v>
      </c>
      <c r="I312" s="63">
        <v>0</v>
      </c>
      <c r="J312" s="63">
        <v>0</v>
      </c>
      <c r="K312" s="63">
        <f t="shared" si="135"/>
        <v>81380</v>
      </c>
      <c r="L312" s="63">
        <v>13076</v>
      </c>
      <c r="M312" s="63">
        <v>0</v>
      </c>
      <c r="N312" s="63">
        <v>0</v>
      </c>
      <c r="O312" s="63">
        <f t="shared" si="136"/>
        <v>13076</v>
      </c>
      <c r="R312" s="62">
        <f t="shared" si="137"/>
        <v>97209</v>
      </c>
      <c r="S312" s="62">
        <f t="shared" si="138"/>
        <v>0</v>
      </c>
      <c r="V312" s="62">
        <f t="shared" si="139"/>
        <v>97209</v>
      </c>
      <c r="W312" s="62">
        <f t="shared" si="130"/>
        <v>0</v>
      </c>
      <c r="X312" s="62">
        <f t="shared" si="131"/>
        <v>0</v>
      </c>
      <c r="Y312" s="62">
        <f t="shared" si="140"/>
        <v>97209</v>
      </c>
      <c r="Z312" s="62">
        <f t="shared" si="141"/>
        <v>0</v>
      </c>
    </row>
    <row r="313" spans="1:34" ht="39.75" hidden="1" customHeight="1" x14ac:dyDescent="0.25">
      <c r="A313" s="56" t="s">
        <v>31</v>
      </c>
      <c r="B313" s="54" t="s">
        <v>1</v>
      </c>
      <c r="C313" s="55">
        <v>48664</v>
      </c>
      <c r="D313" s="55">
        <v>3620</v>
      </c>
      <c r="E313" s="55">
        <v>0</v>
      </c>
      <c r="F313" s="55">
        <v>0</v>
      </c>
      <c r="G313" s="55">
        <f t="shared" si="134"/>
        <v>3620</v>
      </c>
      <c r="H313" s="63">
        <v>43081</v>
      </c>
      <c r="I313" s="63">
        <v>0</v>
      </c>
      <c r="J313" s="63">
        <v>0</v>
      </c>
      <c r="K313" s="63">
        <f t="shared" si="135"/>
        <v>43081</v>
      </c>
      <c r="L313" s="63">
        <v>1963</v>
      </c>
      <c r="M313" s="63">
        <v>0</v>
      </c>
      <c r="N313" s="63">
        <v>0</v>
      </c>
      <c r="O313" s="63">
        <f t="shared" si="136"/>
        <v>1963</v>
      </c>
      <c r="R313" s="62">
        <f t="shared" si="137"/>
        <v>48664</v>
      </c>
      <c r="S313" s="62">
        <f t="shared" si="138"/>
        <v>0</v>
      </c>
      <c r="V313" s="62">
        <f t="shared" si="139"/>
        <v>48664</v>
      </c>
      <c r="W313" s="62">
        <f t="shared" si="130"/>
        <v>0</v>
      </c>
      <c r="X313" s="62">
        <f t="shared" si="131"/>
        <v>0</v>
      </c>
      <c r="Y313" s="62">
        <f t="shared" si="140"/>
        <v>48664</v>
      </c>
      <c r="Z313" s="62">
        <f t="shared" si="141"/>
        <v>0</v>
      </c>
    </row>
    <row r="314" spans="1:34" ht="33" hidden="1" customHeight="1" x14ac:dyDescent="0.25">
      <c r="A314" s="56" t="s">
        <v>32</v>
      </c>
      <c r="B314" s="54" t="s">
        <v>73</v>
      </c>
      <c r="C314" s="55">
        <v>41245</v>
      </c>
      <c r="D314" s="55">
        <v>8112</v>
      </c>
      <c r="E314" s="55">
        <v>0</v>
      </c>
      <c r="F314" s="55">
        <v>0</v>
      </c>
      <c r="G314" s="55">
        <f t="shared" si="134"/>
        <v>8112</v>
      </c>
      <c r="H314" s="63">
        <v>26556</v>
      </c>
      <c r="I314" s="63">
        <v>0</v>
      </c>
      <c r="J314" s="63">
        <v>0</v>
      </c>
      <c r="K314" s="63">
        <f t="shared" si="135"/>
        <v>26556</v>
      </c>
      <c r="L314" s="63">
        <v>6577</v>
      </c>
      <c r="M314" s="63">
        <v>0</v>
      </c>
      <c r="N314" s="63">
        <v>0</v>
      </c>
      <c r="O314" s="63">
        <f t="shared" si="136"/>
        <v>6577</v>
      </c>
      <c r="R314" s="62">
        <f t="shared" si="137"/>
        <v>41245</v>
      </c>
      <c r="S314" s="62">
        <f t="shared" si="138"/>
        <v>0</v>
      </c>
      <c r="V314" s="62">
        <f t="shared" si="139"/>
        <v>41245</v>
      </c>
      <c r="W314" s="62">
        <f t="shared" si="130"/>
        <v>0</v>
      </c>
      <c r="X314" s="62">
        <f t="shared" si="131"/>
        <v>0</v>
      </c>
      <c r="Y314" s="62">
        <f t="shared" si="140"/>
        <v>41245</v>
      </c>
      <c r="Z314" s="62">
        <f t="shared" si="141"/>
        <v>0</v>
      </c>
    </row>
    <row r="315" spans="1:34" ht="33" hidden="1" customHeight="1" x14ac:dyDescent="0.25">
      <c r="A315" s="56" t="s">
        <v>90</v>
      </c>
      <c r="B315" s="70" t="s">
        <v>91</v>
      </c>
      <c r="C315" s="55">
        <f>E315+I315+M315</f>
        <v>61662</v>
      </c>
      <c r="D315" s="55">
        <v>0</v>
      </c>
      <c r="E315" s="55">
        <v>10436</v>
      </c>
      <c r="F315" s="55">
        <v>0</v>
      </c>
      <c r="G315" s="55">
        <f t="shared" si="134"/>
        <v>10436</v>
      </c>
      <c r="H315" s="63">
        <v>0</v>
      </c>
      <c r="I315" s="63">
        <v>34306</v>
      </c>
      <c r="J315" s="63">
        <v>0</v>
      </c>
      <c r="K315" s="63">
        <f t="shared" si="135"/>
        <v>34306</v>
      </c>
      <c r="L315" s="63">
        <v>0</v>
      </c>
      <c r="M315" s="63">
        <v>16920</v>
      </c>
      <c r="N315" s="63">
        <v>0</v>
      </c>
      <c r="O315" s="63">
        <f t="shared" si="136"/>
        <v>16920</v>
      </c>
      <c r="R315" s="62">
        <f t="shared" si="137"/>
        <v>61662</v>
      </c>
      <c r="S315" s="62">
        <f>R315-C315</f>
        <v>0</v>
      </c>
      <c r="V315" s="62">
        <f t="shared" si="139"/>
        <v>0</v>
      </c>
      <c r="W315" s="62">
        <f t="shared" si="130"/>
        <v>61662</v>
      </c>
      <c r="X315" s="62">
        <f t="shared" si="131"/>
        <v>0</v>
      </c>
      <c r="Y315" s="62">
        <f t="shared" si="140"/>
        <v>61662</v>
      </c>
      <c r="Z315" s="62">
        <f t="shared" si="141"/>
        <v>0</v>
      </c>
    </row>
    <row r="316" spans="1:34" ht="25.5" customHeight="1" x14ac:dyDescent="0.25">
      <c r="A316" s="57"/>
      <c r="B316" s="57" t="s">
        <v>0</v>
      </c>
      <c r="C316" s="58">
        <f>C298+C300+C302+C304+C305+C308+C309+C310+C311</f>
        <v>15438828</v>
      </c>
      <c r="D316" s="58">
        <f t="shared" ref="D316:O316" si="144">D298+D300+D302+D304+D305+D308+D309+D310+D311</f>
        <v>403738</v>
      </c>
      <c r="E316" s="58">
        <f>E298+E300+E302+E304+E305+E308+E309+E310+E311</f>
        <v>1400741</v>
      </c>
      <c r="F316" s="58">
        <f t="shared" si="144"/>
        <v>24408</v>
      </c>
      <c r="G316" s="58">
        <f t="shared" si="144"/>
        <v>1828887</v>
      </c>
      <c r="H316" s="58">
        <f t="shared" si="144"/>
        <v>3115233</v>
      </c>
      <c r="I316" s="58">
        <f>I298+I300+I302+I304+I305+I308+I309+I310+I311</f>
        <v>8616319</v>
      </c>
      <c r="J316" s="58">
        <f t="shared" si="144"/>
        <v>190071</v>
      </c>
      <c r="K316" s="58">
        <f t="shared" si="144"/>
        <v>11921623</v>
      </c>
      <c r="L316" s="58">
        <f t="shared" si="144"/>
        <v>301608</v>
      </c>
      <c r="M316" s="58">
        <f>M298+M300+M302+M304+M305+M308+M309+M310+M311</f>
        <v>1370148</v>
      </c>
      <c r="N316" s="58">
        <f t="shared" si="144"/>
        <v>16562</v>
      </c>
      <c r="O316" s="58">
        <f t="shared" si="144"/>
        <v>1688318</v>
      </c>
      <c r="R316" s="62">
        <f>G316+K316+O316</f>
        <v>15438828</v>
      </c>
      <c r="S316" s="62">
        <f t="shared" si="138"/>
        <v>0</v>
      </c>
      <c r="V316" s="62">
        <f t="shared" si="139"/>
        <v>3820579</v>
      </c>
      <c r="W316" s="62">
        <f t="shared" si="130"/>
        <v>11387208</v>
      </c>
      <c r="X316" s="62">
        <f t="shared" si="131"/>
        <v>231041</v>
      </c>
      <c r="Y316" s="62">
        <f t="shared" si="140"/>
        <v>15438828</v>
      </c>
      <c r="Z316" s="62">
        <f t="shared" si="141"/>
        <v>0</v>
      </c>
    </row>
    <row r="318" spans="1:34" s="4" customFormat="1" ht="28.5" customHeight="1" x14ac:dyDescent="0.25">
      <c r="A318" s="152" t="s">
        <v>17</v>
      </c>
      <c r="B318" s="152" t="s">
        <v>33</v>
      </c>
      <c r="C318" s="152" t="s">
        <v>86</v>
      </c>
      <c r="D318" s="152" t="s">
        <v>69</v>
      </c>
      <c r="E318" s="152"/>
      <c r="F318" s="152"/>
      <c r="G318" s="152"/>
      <c r="H318" s="152"/>
      <c r="I318" s="152"/>
      <c r="J318" s="152"/>
      <c r="K318" s="152"/>
      <c r="L318" s="152"/>
      <c r="M318" s="152"/>
      <c r="N318" s="152"/>
      <c r="O318" s="152"/>
      <c r="R318" s="61"/>
      <c r="S318" s="61"/>
      <c r="V318" s="61"/>
      <c r="W318" s="61"/>
      <c r="X318" s="61"/>
      <c r="Y318" s="61"/>
      <c r="Z318" s="61"/>
      <c r="AC318" s="95"/>
      <c r="AD318" s="95"/>
      <c r="AE318" s="95"/>
      <c r="AF318" s="95"/>
      <c r="AG318" s="93"/>
      <c r="AH318" s="95"/>
    </row>
    <row r="319" spans="1:34" s="4" customFormat="1" ht="41.25" customHeight="1" x14ac:dyDescent="0.25">
      <c r="A319" s="152"/>
      <c r="B319" s="152"/>
      <c r="C319" s="152"/>
      <c r="D319" s="154" t="s">
        <v>36</v>
      </c>
      <c r="E319" s="154"/>
      <c r="F319" s="154"/>
      <c r="G319" s="154"/>
      <c r="H319" s="155" t="s">
        <v>37</v>
      </c>
      <c r="I319" s="156"/>
      <c r="J319" s="156"/>
      <c r="K319" s="157"/>
      <c r="L319" s="155" t="s">
        <v>38</v>
      </c>
      <c r="M319" s="156"/>
      <c r="N319" s="156"/>
      <c r="O319" s="157"/>
      <c r="R319" s="61"/>
      <c r="S319" s="61"/>
      <c r="V319" s="61"/>
      <c r="W319" s="61"/>
      <c r="X319" s="61"/>
      <c r="Y319" s="61"/>
      <c r="Z319" s="61"/>
      <c r="AC319" s="95"/>
      <c r="AD319" s="95"/>
      <c r="AE319" s="95"/>
      <c r="AF319" s="95"/>
      <c r="AG319" s="93"/>
      <c r="AH319" s="95"/>
    </row>
    <row r="320" spans="1:34" s="4" customFormat="1" ht="59.25" customHeight="1" x14ac:dyDescent="0.25">
      <c r="A320" s="152"/>
      <c r="B320" s="152"/>
      <c r="C320" s="152"/>
      <c r="D320" s="59" t="s">
        <v>66</v>
      </c>
      <c r="E320" s="59" t="s">
        <v>67</v>
      </c>
      <c r="F320" s="59" t="s">
        <v>68</v>
      </c>
      <c r="G320" s="59" t="s">
        <v>70</v>
      </c>
      <c r="H320" s="65" t="s">
        <v>66</v>
      </c>
      <c r="I320" s="65" t="s">
        <v>67</v>
      </c>
      <c r="J320" s="65" t="s">
        <v>68</v>
      </c>
      <c r="K320" s="65" t="s">
        <v>71</v>
      </c>
      <c r="L320" s="65" t="s">
        <v>66</v>
      </c>
      <c r="M320" s="65" t="s">
        <v>67</v>
      </c>
      <c r="N320" s="65" t="s">
        <v>68</v>
      </c>
      <c r="O320" s="65" t="s">
        <v>72</v>
      </c>
      <c r="R320" s="61"/>
      <c r="S320" s="61"/>
      <c r="V320" s="61" t="s">
        <v>44</v>
      </c>
      <c r="W320" s="61" t="s">
        <v>96</v>
      </c>
      <c r="X320" s="61" t="s">
        <v>97</v>
      </c>
      <c r="Y320" s="61"/>
      <c r="Z320" s="61"/>
      <c r="AC320" s="95"/>
      <c r="AD320" s="95"/>
      <c r="AE320" s="95"/>
      <c r="AF320" s="95"/>
      <c r="AG320" s="93"/>
      <c r="AH320" s="95"/>
    </row>
    <row r="321" spans="1:34" s="3" customFormat="1" ht="14.25" customHeight="1" x14ac:dyDescent="0.25">
      <c r="A321" s="53">
        <v>1</v>
      </c>
      <c r="B321" s="53">
        <v>2</v>
      </c>
      <c r="C321" s="53">
        <v>3</v>
      </c>
      <c r="D321" s="53">
        <v>4</v>
      </c>
      <c r="E321" s="53">
        <v>5</v>
      </c>
      <c r="F321" s="53">
        <v>6</v>
      </c>
      <c r="G321" s="53">
        <v>7</v>
      </c>
      <c r="H321" s="66">
        <v>8</v>
      </c>
      <c r="I321" s="66">
        <v>9</v>
      </c>
      <c r="J321" s="66">
        <v>10</v>
      </c>
      <c r="K321" s="66">
        <v>11</v>
      </c>
      <c r="L321" s="66">
        <v>12</v>
      </c>
      <c r="M321" s="66">
        <v>13</v>
      </c>
      <c r="N321" s="66">
        <v>14</v>
      </c>
      <c r="O321" s="66">
        <v>15</v>
      </c>
      <c r="R321" s="61"/>
      <c r="S321" s="61"/>
      <c r="V321" s="61"/>
      <c r="W321" s="61"/>
      <c r="X321" s="61"/>
      <c r="Y321" s="61"/>
      <c r="Z321" s="61"/>
      <c r="AC321" s="95"/>
      <c r="AD321" s="95"/>
      <c r="AE321" s="95"/>
      <c r="AF321" s="95"/>
      <c r="AG321" s="94"/>
      <c r="AH321" s="95"/>
    </row>
    <row r="322" spans="1:34" s="3" customFormat="1" ht="25.5" customHeight="1" x14ac:dyDescent="0.25">
      <c r="A322" s="53" t="s">
        <v>16</v>
      </c>
      <c r="B322" s="54" t="s">
        <v>15</v>
      </c>
      <c r="C322" s="55">
        <f>3916096+525070</f>
        <v>4441166</v>
      </c>
      <c r="D322" s="55">
        <f>116523+15611</f>
        <v>132134</v>
      </c>
      <c r="E322" s="55">
        <f>494505+66315</f>
        <v>560820</v>
      </c>
      <c r="F322" s="55">
        <v>0</v>
      </c>
      <c r="G322" s="55">
        <f>D322+E322+F322</f>
        <v>692954</v>
      </c>
      <c r="H322" s="63">
        <f>491334+65826</f>
        <v>557160</v>
      </c>
      <c r="I322" s="63">
        <f>2085144+279628</f>
        <v>2364772</v>
      </c>
      <c r="J322" s="63">
        <v>0</v>
      </c>
      <c r="K322" s="63">
        <f>H322+I322+J322</f>
        <v>2921932</v>
      </c>
      <c r="L322" s="63">
        <f>138942+18615</f>
        <v>157557</v>
      </c>
      <c r="M322" s="63">
        <f>589648+79075</f>
        <v>668723</v>
      </c>
      <c r="N322" s="63">
        <v>0</v>
      </c>
      <c r="O322" s="63">
        <f>L322+M322+N322</f>
        <v>826280</v>
      </c>
      <c r="R322" s="62">
        <f>G322+K322+O322</f>
        <v>4441166</v>
      </c>
      <c r="S322" s="62">
        <f>R322-C322</f>
        <v>0</v>
      </c>
      <c r="V322" s="62">
        <f>D322+H322+L322</f>
        <v>846851</v>
      </c>
      <c r="W322" s="62">
        <f t="shared" ref="W322:W340" si="145">E322+I322+M322</f>
        <v>3594315</v>
      </c>
      <c r="X322" s="62">
        <f t="shared" ref="X322:X340" si="146">F322+J322+N322</f>
        <v>0</v>
      </c>
      <c r="Y322" s="62">
        <f>V322+W322+X322</f>
        <v>4441166</v>
      </c>
      <c r="Z322" s="62">
        <f>Y322-C322</f>
        <v>0</v>
      </c>
      <c r="AC322" s="99">
        <f>'[1]Свод по видам помощи'!D305+'дополн сумма к расх с 01.07.13'!X77</f>
        <v>846851</v>
      </c>
      <c r="AD322" s="99">
        <f>'[1]Свод по видам помощи'!E305+'дополн сумма к расх с 01.07.13'!Y77</f>
        <v>3594315</v>
      </c>
      <c r="AE322" s="99">
        <f>'[1]Свод по видам помощи'!F305+'дополн сумма к расх с 01.07.13'!Z77</f>
        <v>0</v>
      </c>
      <c r="AF322" s="98">
        <f t="shared" ref="AF322" si="147">AC322+AD322+AE322</f>
        <v>4441166</v>
      </c>
      <c r="AG322" s="92"/>
      <c r="AH322" s="98">
        <f t="shared" ref="AH322" si="148">AF322-Y322</f>
        <v>0</v>
      </c>
    </row>
    <row r="323" spans="1:34" ht="40.5" hidden="1" customHeight="1" x14ac:dyDescent="0.25">
      <c r="A323" s="56" t="s">
        <v>24</v>
      </c>
      <c r="B323" s="54" t="s">
        <v>14</v>
      </c>
      <c r="C323" s="55">
        <v>303177</v>
      </c>
      <c r="D323" s="55">
        <v>35106</v>
      </c>
      <c r="E323" s="55">
        <v>26864</v>
      </c>
      <c r="F323" s="55">
        <v>854</v>
      </c>
      <c r="G323" s="55">
        <f t="shared" ref="G323:G339" si="149">D323+E323+F323</f>
        <v>62824</v>
      </c>
      <c r="H323" s="63">
        <v>103171</v>
      </c>
      <c r="I323" s="63">
        <v>78947</v>
      </c>
      <c r="J323" s="63">
        <v>2511</v>
      </c>
      <c r="K323" s="63">
        <f t="shared" ref="K323:K339" si="150">H323+I323+J323</f>
        <v>184629</v>
      </c>
      <c r="L323" s="63">
        <v>31138</v>
      </c>
      <c r="M323" s="63">
        <v>23828</v>
      </c>
      <c r="N323" s="63">
        <v>758</v>
      </c>
      <c r="O323" s="63">
        <f t="shared" ref="O323:O339" si="151">L323+M323+N323</f>
        <v>55724</v>
      </c>
      <c r="R323" s="62">
        <f t="shared" ref="R323:R340" si="152">G323+K323+O323</f>
        <v>303177</v>
      </c>
      <c r="S323" s="62">
        <f t="shared" ref="S323:S340" si="153">R323-C323</f>
        <v>0</v>
      </c>
      <c r="V323" s="62">
        <f t="shared" ref="V323:V340" si="154">D323+H323+L323</f>
        <v>169415</v>
      </c>
      <c r="W323" s="62">
        <f t="shared" si="145"/>
        <v>129639</v>
      </c>
      <c r="X323" s="62">
        <f t="shared" si="146"/>
        <v>4123</v>
      </c>
      <c r="Y323" s="62">
        <f t="shared" ref="Y323:Y340" si="155">V323+W323+X323</f>
        <v>303177</v>
      </c>
      <c r="Z323" s="62">
        <f t="shared" ref="Z323:Z340" si="156">Y323-C323</f>
        <v>0</v>
      </c>
      <c r="AC323" s="99">
        <f>'[1]Свод по видам помощи'!D306+'дополн сумма к расх с 01.07.13'!X78</f>
        <v>169415</v>
      </c>
      <c r="AF323" s="98">
        <f t="shared" ref="AF323:AF335" si="157">AC323+AD323+AE323</f>
        <v>169415</v>
      </c>
      <c r="AH323" s="98">
        <f t="shared" ref="AH323:AH335" si="158">AF323-Y323</f>
        <v>-133762</v>
      </c>
    </row>
    <row r="324" spans="1:34" ht="34.5" customHeight="1" x14ac:dyDescent="0.25">
      <c r="A324" s="56" t="s">
        <v>24</v>
      </c>
      <c r="B324" s="54" t="s">
        <v>13</v>
      </c>
      <c r="C324" s="55">
        <f>2321762+80694</f>
        <v>2402456</v>
      </c>
      <c r="D324" s="55">
        <v>0</v>
      </c>
      <c r="E324" s="55">
        <f>131598+4574</f>
        <v>136172</v>
      </c>
      <c r="F324" s="55">
        <v>0</v>
      </c>
      <c r="G324" s="55">
        <f t="shared" si="149"/>
        <v>136172</v>
      </c>
      <c r="H324" s="63">
        <v>0</v>
      </c>
      <c r="I324" s="63">
        <f>1950628+67795</f>
        <v>2018423</v>
      </c>
      <c r="J324" s="63">
        <v>0</v>
      </c>
      <c r="K324" s="63">
        <f t="shared" si="150"/>
        <v>2018423</v>
      </c>
      <c r="L324" s="63">
        <v>0</v>
      </c>
      <c r="M324" s="63">
        <f>239536+8325</f>
        <v>247861</v>
      </c>
      <c r="N324" s="63">
        <v>0</v>
      </c>
      <c r="O324" s="63">
        <f t="shared" si="151"/>
        <v>247861</v>
      </c>
      <c r="R324" s="62">
        <f t="shared" si="152"/>
        <v>2402456</v>
      </c>
      <c r="S324" s="62">
        <f t="shared" si="153"/>
        <v>0</v>
      </c>
      <c r="V324" s="62">
        <f t="shared" si="154"/>
        <v>0</v>
      </c>
      <c r="W324" s="62">
        <f t="shared" si="145"/>
        <v>2402456</v>
      </c>
      <c r="X324" s="62">
        <f t="shared" si="146"/>
        <v>0</v>
      </c>
      <c r="Y324" s="62">
        <f t="shared" si="155"/>
        <v>2402456</v>
      </c>
      <c r="Z324" s="62">
        <f t="shared" si="156"/>
        <v>0</v>
      </c>
      <c r="AC324" s="99">
        <f>'[1]Свод по видам помощи'!D307+'дополн сумма к расх с 01.07.13'!X78</f>
        <v>0</v>
      </c>
      <c r="AD324" s="99">
        <f>'[1]Свод по видам помощи'!E307+'дополн сумма к расх с 01.07.13'!Y78</f>
        <v>2402456</v>
      </c>
      <c r="AE324" s="99">
        <f>'[1]Свод по видам помощи'!F307+'дополн сумма к расх с 01.07.13'!Z78</f>
        <v>0</v>
      </c>
      <c r="AF324" s="98">
        <f t="shared" si="157"/>
        <v>2402456</v>
      </c>
      <c r="AH324" s="98">
        <f t="shared" si="158"/>
        <v>0</v>
      </c>
    </row>
    <row r="325" spans="1:34" ht="40.5" hidden="1" customHeight="1" x14ac:dyDescent="0.25">
      <c r="A325" s="56" t="s">
        <v>22</v>
      </c>
      <c r="B325" s="54" t="s">
        <v>12</v>
      </c>
      <c r="C325" s="55">
        <v>158288</v>
      </c>
      <c r="D325" s="55">
        <v>18208</v>
      </c>
      <c r="E325" s="55">
        <v>0</v>
      </c>
      <c r="F325" s="55">
        <v>0</v>
      </c>
      <c r="G325" s="55">
        <f t="shared" si="149"/>
        <v>18208</v>
      </c>
      <c r="H325" s="63">
        <v>118418</v>
      </c>
      <c r="I325" s="63">
        <v>0</v>
      </c>
      <c r="J325" s="63">
        <v>0</v>
      </c>
      <c r="K325" s="63">
        <f t="shared" si="150"/>
        <v>118418</v>
      </c>
      <c r="L325" s="63">
        <v>21662</v>
      </c>
      <c r="M325" s="63">
        <v>0</v>
      </c>
      <c r="N325" s="63">
        <v>0</v>
      </c>
      <c r="O325" s="63">
        <f t="shared" si="151"/>
        <v>21662</v>
      </c>
      <c r="R325" s="62">
        <f t="shared" si="152"/>
        <v>158288</v>
      </c>
      <c r="S325" s="62">
        <f t="shared" si="153"/>
        <v>0</v>
      </c>
      <c r="V325" s="62">
        <f t="shared" si="154"/>
        <v>158288</v>
      </c>
      <c r="W325" s="62">
        <f t="shared" si="145"/>
        <v>0</v>
      </c>
      <c r="X325" s="62">
        <f t="shared" si="146"/>
        <v>0</v>
      </c>
      <c r="Y325" s="62">
        <f t="shared" si="155"/>
        <v>158288</v>
      </c>
      <c r="Z325" s="62">
        <f t="shared" si="156"/>
        <v>0</v>
      </c>
      <c r="AC325" s="99">
        <f>'[1]Свод по видам помощи'!D308+'дополн сумма к расх с 01.07.13'!X79</f>
        <v>169917</v>
      </c>
      <c r="AF325" s="98">
        <f t="shared" si="157"/>
        <v>169917</v>
      </c>
      <c r="AH325" s="98">
        <f t="shared" si="158"/>
        <v>11629</v>
      </c>
    </row>
    <row r="326" spans="1:34" ht="39.75" customHeight="1" x14ac:dyDescent="0.25">
      <c r="A326" s="56" t="s">
        <v>23</v>
      </c>
      <c r="B326" s="54" t="s">
        <v>11</v>
      </c>
      <c r="C326" s="55">
        <f>144013+38001</f>
        <v>182014</v>
      </c>
      <c r="D326" s="55">
        <f>5634+1487</f>
        <v>7121</v>
      </c>
      <c r="E326" s="55">
        <f>8924+2355</f>
        <v>11279</v>
      </c>
      <c r="F326" s="55">
        <f>3854+1017</f>
        <v>4871</v>
      </c>
      <c r="G326" s="55">
        <f t="shared" si="149"/>
        <v>23271</v>
      </c>
      <c r="H326" s="63">
        <f>29887+7887</f>
        <v>37774</v>
      </c>
      <c r="I326" s="63">
        <f>47341+12490</f>
        <v>59831</v>
      </c>
      <c r="J326" s="63">
        <f>20443+5395</f>
        <v>25838</v>
      </c>
      <c r="K326" s="63">
        <f t="shared" si="150"/>
        <v>123443</v>
      </c>
      <c r="L326" s="63">
        <f>8546+2255</f>
        <v>10801</v>
      </c>
      <c r="M326" s="63">
        <f>13538+3572</f>
        <v>17110</v>
      </c>
      <c r="N326" s="63">
        <f>5846+1543</f>
        <v>7389</v>
      </c>
      <c r="O326" s="63">
        <f t="shared" si="151"/>
        <v>35300</v>
      </c>
      <c r="R326" s="62">
        <f t="shared" si="152"/>
        <v>182014</v>
      </c>
      <c r="S326" s="62">
        <f t="shared" si="153"/>
        <v>0</v>
      </c>
      <c r="V326" s="62">
        <f t="shared" si="154"/>
        <v>55696</v>
      </c>
      <c r="W326" s="62">
        <f t="shared" si="145"/>
        <v>88220</v>
      </c>
      <c r="X326" s="62">
        <f t="shared" si="146"/>
        <v>38098</v>
      </c>
      <c r="Y326" s="62">
        <f t="shared" si="155"/>
        <v>182014</v>
      </c>
      <c r="Z326" s="62">
        <f t="shared" si="156"/>
        <v>0</v>
      </c>
      <c r="AC326" s="99">
        <f>'[1]Свод по видам помощи'!D309+'дополн сумма к расх с 01.07.13'!X79</f>
        <v>55696</v>
      </c>
      <c r="AD326" s="99">
        <f>'[1]Свод по видам помощи'!E309+'дополн сумма к расх с 01.07.13'!Y79</f>
        <v>88220</v>
      </c>
      <c r="AE326" s="99">
        <f>'[1]Свод по видам помощи'!F309+'дополн сумма к расх с 01.07.13'!Z79</f>
        <v>38098</v>
      </c>
      <c r="AF326" s="98">
        <f t="shared" si="157"/>
        <v>182014</v>
      </c>
      <c r="AH326" s="98">
        <f t="shared" si="158"/>
        <v>0</v>
      </c>
    </row>
    <row r="327" spans="1:34" ht="28.5" hidden="1" customHeight="1" x14ac:dyDescent="0.25">
      <c r="A327" s="56" t="s">
        <v>20</v>
      </c>
      <c r="B327" s="54" t="s">
        <v>34</v>
      </c>
      <c r="C327" s="55">
        <v>296145</v>
      </c>
      <c r="D327" s="55">
        <v>55432</v>
      </c>
      <c r="E327" s="55">
        <v>0</v>
      </c>
      <c r="F327" s="55">
        <v>0</v>
      </c>
      <c r="G327" s="55">
        <f t="shared" si="149"/>
        <v>55432</v>
      </c>
      <c r="H327" s="63">
        <v>180936</v>
      </c>
      <c r="I327" s="63">
        <v>0</v>
      </c>
      <c r="J327" s="63">
        <v>0</v>
      </c>
      <c r="K327" s="63">
        <f t="shared" si="150"/>
        <v>180936</v>
      </c>
      <c r="L327" s="63">
        <v>59777</v>
      </c>
      <c r="M327" s="63">
        <v>0</v>
      </c>
      <c r="N327" s="63">
        <v>0</v>
      </c>
      <c r="O327" s="63">
        <f t="shared" si="151"/>
        <v>59777</v>
      </c>
      <c r="R327" s="62">
        <f t="shared" si="152"/>
        <v>296145</v>
      </c>
      <c r="S327" s="62">
        <f t="shared" si="153"/>
        <v>0</v>
      </c>
      <c r="V327" s="62">
        <f t="shared" si="154"/>
        <v>296145</v>
      </c>
      <c r="W327" s="62">
        <f t="shared" si="145"/>
        <v>0</v>
      </c>
      <c r="X327" s="62">
        <f t="shared" si="146"/>
        <v>0</v>
      </c>
      <c r="Y327" s="62">
        <f t="shared" si="155"/>
        <v>296145</v>
      </c>
      <c r="Z327" s="62">
        <f t="shared" si="156"/>
        <v>0</v>
      </c>
      <c r="AC327" s="99">
        <f>'[1]Свод по видам помощи'!D310+'дополн сумма к расх с 01.07.13'!X80</f>
        <v>299220</v>
      </c>
      <c r="AF327" s="98">
        <f t="shared" si="157"/>
        <v>299220</v>
      </c>
      <c r="AH327" s="98">
        <f t="shared" si="158"/>
        <v>3075</v>
      </c>
    </row>
    <row r="328" spans="1:34" ht="34.5" customHeight="1" x14ac:dyDescent="0.25">
      <c r="A328" s="56" t="s">
        <v>22</v>
      </c>
      <c r="B328" s="54" t="s">
        <v>10</v>
      </c>
      <c r="C328" s="55">
        <f>1058024+7286</f>
        <v>1065310</v>
      </c>
      <c r="D328" s="55">
        <f>22986+158</f>
        <v>23144</v>
      </c>
      <c r="E328" s="55">
        <f>30065+207</f>
        <v>30272</v>
      </c>
      <c r="F328" s="55">
        <f>1405+10</f>
        <v>1415</v>
      </c>
      <c r="G328" s="55">
        <f t="shared" si="149"/>
        <v>54831</v>
      </c>
      <c r="H328" s="63">
        <f>357506+2462</f>
        <v>359968</v>
      </c>
      <c r="I328" s="63">
        <f>467612+3219</f>
        <v>470831</v>
      </c>
      <c r="J328" s="63">
        <f>21852+152</f>
        <v>22004</v>
      </c>
      <c r="K328" s="63">
        <f t="shared" si="150"/>
        <v>852803</v>
      </c>
      <c r="L328" s="63">
        <f>66100+455</f>
        <v>66555</v>
      </c>
      <c r="M328" s="63">
        <f>86458+595</f>
        <v>87053</v>
      </c>
      <c r="N328" s="63">
        <f>4040+28</f>
        <v>4068</v>
      </c>
      <c r="O328" s="63">
        <f t="shared" si="151"/>
        <v>157676</v>
      </c>
      <c r="R328" s="62">
        <f t="shared" si="152"/>
        <v>1065310</v>
      </c>
      <c r="S328" s="62">
        <f t="shared" si="153"/>
        <v>0</v>
      </c>
      <c r="V328" s="62">
        <f t="shared" si="154"/>
        <v>449667</v>
      </c>
      <c r="W328" s="62">
        <f t="shared" si="145"/>
        <v>588156</v>
      </c>
      <c r="X328" s="62">
        <f t="shared" si="146"/>
        <v>27487</v>
      </c>
      <c r="Y328" s="62">
        <f t="shared" si="155"/>
        <v>1065310</v>
      </c>
      <c r="Z328" s="62">
        <f t="shared" si="156"/>
        <v>0</v>
      </c>
      <c r="AC328" s="99">
        <f>'[1]Свод по видам помощи'!D311+'дополн сумма к расх с 01.07.13'!X80</f>
        <v>449667</v>
      </c>
      <c r="AD328" s="99">
        <f>'[1]Свод по видам помощи'!E311+'дополн сумма к расх с 01.07.13'!Y80</f>
        <v>588156</v>
      </c>
      <c r="AE328" s="99">
        <f>'[1]Свод по видам помощи'!F311+'дополн сумма к расх с 01.07.13'!Z80</f>
        <v>27487</v>
      </c>
      <c r="AF328" s="98">
        <f t="shared" si="157"/>
        <v>1065310</v>
      </c>
      <c r="AH328" s="98">
        <f t="shared" si="158"/>
        <v>0</v>
      </c>
    </row>
    <row r="329" spans="1:34" ht="25.5" customHeight="1" x14ac:dyDescent="0.25">
      <c r="A329" s="56" t="s">
        <v>21</v>
      </c>
      <c r="B329" s="54" t="s">
        <v>9</v>
      </c>
      <c r="C329" s="55">
        <f>924607+443518</f>
        <v>1368125</v>
      </c>
      <c r="D329" s="55">
        <f>80840+40074</f>
        <v>120914</v>
      </c>
      <c r="E329" s="55">
        <f>137073+64528</f>
        <v>201601</v>
      </c>
      <c r="F329" s="55">
        <f>4788+2224</f>
        <v>7012</v>
      </c>
      <c r="G329" s="55">
        <f t="shared" si="149"/>
        <v>329527</v>
      </c>
      <c r="H329" s="63">
        <f>252597+125218</f>
        <v>377815</v>
      </c>
      <c r="I329" s="63">
        <f>428301+201626</f>
        <v>629927</v>
      </c>
      <c r="J329" s="63">
        <f>14961+6948</f>
        <v>21909</v>
      </c>
      <c r="K329" s="63">
        <f t="shared" si="150"/>
        <v>1029651</v>
      </c>
      <c r="L329" s="63">
        <f>2195+1088</f>
        <v>3283</v>
      </c>
      <c r="M329" s="63">
        <f>3722+1752</f>
        <v>5474</v>
      </c>
      <c r="N329" s="63">
        <f>130+60</f>
        <v>190</v>
      </c>
      <c r="O329" s="63">
        <f t="shared" si="151"/>
        <v>8947</v>
      </c>
      <c r="R329" s="62">
        <f t="shared" si="152"/>
        <v>1368125</v>
      </c>
      <c r="S329" s="62">
        <f t="shared" si="153"/>
        <v>0</v>
      </c>
      <c r="V329" s="62">
        <f t="shared" si="154"/>
        <v>502012</v>
      </c>
      <c r="W329" s="62">
        <f t="shared" si="145"/>
        <v>837002</v>
      </c>
      <c r="X329" s="62">
        <f t="shared" si="146"/>
        <v>29111</v>
      </c>
      <c r="Y329" s="62">
        <f t="shared" si="155"/>
        <v>1368125</v>
      </c>
      <c r="Z329" s="62">
        <f t="shared" si="156"/>
        <v>0</v>
      </c>
      <c r="AC329" s="99">
        <f>'[1]Свод по видам помощи'!D312+'дополн сумма к расх с 01.07.13'!X81</f>
        <v>502013</v>
      </c>
      <c r="AD329" s="99">
        <f>'[1]Свод по видам помощи'!E312+'дополн сумма к расх с 01.07.13'!Y81</f>
        <v>837002</v>
      </c>
      <c r="AE329" s="99">
        <f>'[1]Свод по видам помощи'!F312+'дополн сумма к расх с 01.07.13'!Z81</f>
        <v>29110</v>
      </c>
      <c r="AF329" s="98">
        <f t="shared" si="157"/>
        <v>1368125</v>
      </c>
      <c r="AH329" s="98">
        <f t="shared" si="158"/>
        <v>0</v>
      </c>
    </row>
    <row r="330" spans="1:34" ht="25.5" hidden="1" customHeight="1" x14ac:dyDescent="0.25">
      <c r="A330" s="56" t="s">
        <v>25</v>
      </c>
      <c r="B330" s="54" t="s">
        <v>8</v>
      </c>
      <c r="C330" s="55">
        <v>1385517</v>
      </c>
      <c r="D330" s="55">
        <v>10037</v>
      </c>
      <c r="E330" s="55">
        <v>44691</v>
      </c>
      <c r="F330" s="55">
        <v>0</v>
      </c>
      <c r="G330" s="55">
        <f t="shared" si="149"/>
        <v>54728</v>
      </c>
      <c r="H330" s="63">
        <v>162901</v>
      </c>
      <c r="I330" s="63">
        <v>725326</v>
      </c>
      <c r="J330" s="63">
        <v>0</v>
      </c>
      <c r="K330" s="63">
        <f t="shared" si="150"/>
        <v>888227</v>
      </c>
      <c r="L330" s="63">
        <v>81166</v>
      </c>
      <c r="M330" s="63">
        <v>361396</v>
      </c>
      <c r="N330" s="63">
        <v>0</v>
      </c>
      <c r="O330" s="63">
        <f t="shared" si="151"/>
        <v>442562</v>
      </c>
      <c r="R330" s="62">
        <f t="shared" si="152"/>
        <v>1385517</v>
      </c>
      <c r="S330" s="62">
        <f t="shared" si="153"/>
        <v>0</v>
      </c>
      <c r="V330" s="62">
        <f t="shared" si="154"/>
        <v>254104</v>
      </c>
      <c r="W330" s="62">
        <f t="shared" si="145"/>
        <v>1131413</v>
      </c>
      <c r="X330" s="62">
        <f t="shared" si="146"/>
        <v>0</v>
      </c>
      <c r="Y330" s="62">
        <f t="shared" si="155"/>
        <v>1385517</v>
      </c>
      <c r="Z330" s="62">
        <f t="shared" si="156"/>
        <v>0</v>
      </c>
      <c r="AC330" s="99">
        <f>'[1]Свод по видам помощи'!D313+'дополн сумма к расх с 01.07.13'!X82</f>
        <v>729113</v>
      </c>
      <c r="AF330" s="98">
        <f t="shared" si="157"/>
        <v>729113</v>
      </c>
      <c r="AH330" s="98">
        <f t="shared" si="158"/>
        <v>-656404</v>
      </c>
    </row>
    <row r="331" spans="1:34" ht="25.5" hidden="1" customHeight="1" x14ac:dyDescent="0.25">
      <c r="A331" s="56" t="s">
        <v>26</v>
      </c>
      <c r="B331" s="54" t="s">
        <v>7</v>
      </c>
      <c r="C331" s="55">
        <v>917031</v>
      </c>
      <c r="D331" s="55">
        <v>2022</v>
      </c>
      <c r="E331" s="55">
        <v>14732</v>
      </c>
      <c r="F331" s="55">
        <v>0</v>
      </c>
      <c r="G331" s="55">
        <f t="shared" si="149"/>
        <v>16754</v>
      </c>
      <c r="H331" s="63">
        <v>98796</v>
      </c>
      <c r="I331" s="63">
        <v>719728</v>
      </c>
      <c r="J331" s="63">
        <v>0</v>
      </c>
      <c r="K331" s="63">
        <f t="shared" si="150"/>
        <v>818524</v>
      </c>
      <c r="L331" s="63">
        <v>9868</v>
      </c>
      <c r="M331" s="63">
        <v>71885</v>
      </c>
      <c r="N331" s="63">
        <v>0</v>
      </c>
      <c r="O331" s="63">
        <f t="shared" si="151"/>
        <v>81753</v>
      </c>
      <c r="R331" s="62">
        <f t="shared" si="152"/>
        <v>917031</v>
      </c>
      <c r="S331" s="62">
        <f t="shared" si="153"/>
        <v>0</v>
      </c>
      <c r="V331" s="62">
        <f t="shared" si="154"/>
        <v>110686</v>
      </c>
      <c r="W331" s="62">
        <f t="shared" si="145"/>
        <v>806345</v>
      </c>
      <c r="X331" s="62">
        <f t="shared" si="146"/>
        <v>0</v>
      </c>
      <c r="Y331" s="62">
        <f t="shared" si="155"/>
        <v>917031</v>
      </c>
      <c r="Z331" s="62">
        <f t="shared" si="156"/>
        <v>0</v>
      </c>
      <c r="AC331" s="99">
        <f>'[1]Свод по видам помощи'!D314+'дополн сумма к расх с 01.07.13'!X83</f>
        <v>345629</v>
      </c>
      <c r="AF331" s="98">
        <f t="shared" si="157"/>
        <v>345629</v>
      </c>
      <c r="AH331" s="98">
        <f t="shared" si="158"/>
        <v>-571402</v>
      </c>
    </row>
    <row r="332" spans="1:34" ht="25.5" customHeight="1" x14ac:dyDescent="0.25">
      <c r="A332" s="56" t="s">
        <v>20</v>
      </c>
      <c r="B332" s="54" t="s">
        <v>6</v>
      </c>
      <c r="C332" s="55">
        <f>631058+853408</f>
        <v>1484466</v>
      </c>
      <c r="D332" s="55">
        <f>2504+3311</f>
        <v>5815</v>
      </c>
      <c r="E332" s="55">
        <f>1820+2538</f>
        <v>4358</v>
      </c>
      <c r="F332" s="55">
        <f>74+99</f>
        <v>173</v>
      </c>
      <c r="G332" s="55">
        <f t="shared" si="149"/>
        <v>10346</v>
      </c>
      <c r="H332" s="63">
        <f>356281+470986</f>
        <v>827267</v>
      </c>
      <c r="I332" s="63">
        <f>258857+361082</f>
        <v>619939</v>
      </c>
      <c r="J332" s="63">
        <f>10575+14112</f>
        <v>24687</v>
      </c>
      <c r="K332" s="63">
        <f t="shared" si="150"/>
        <v>1471893</v>
      </c>
      <c r="L332" s="63">
        <f>539+713</f>
        <v>1252</v>
      </c>
      <c r="M332" s="63">
        <f>392+546</f>
        <v>938</v>
      </c>
      <c r="N332" s="63">
        <f>16+21</f>
        <v>37</v>
      </c>
      <c r="O332" s="63">
        <f t="shared" si="151"/>
        <v>2227</v>
      </c>
      <c r="R332" s="62">
        <f t="shared" si="152"/>
        <v>1484466</v>
      </c>
      <c r="S332" s="62">
        <f t="shared" si="153"/>
        <v>0</v>
      </c>
      <c r="V332" s="62">
        <f t="shared" si="154"/>
        <v>834334</v>
      </c>
      <c r="W332" s="62">
        <f t="shared" si="145"/>
        <v>625235</v>
      </c>
      <c r="X332" s="62">
        <f t="shared" si="146"/>
        <v>24897</v>
      </c>
      <c r="Y332" s="62">
        <f t="shared" si="155"/>
        <v>1484466</v>
      </c>
      <c r="Z332" s="62">
        <f t="shared" si="156"/>
        <v>0</v>
      </c>
      <c r="AC332" s="99">
        <f>'[1]Свод по видам помощи'!D315+'дополн сумма к расх с 01.07.13'!X82</f>
        <v>834333</v>
      </c>
      <c r="AD332" s="99">
        <f>'[1]Свод по видам помощи'!E315+'дополн сумма к расх с 01.07.13'!Y82</f>
        <v>625235</v>
      </c>
      <c r="AE332" s="99">
        <f>'[1]Свод по видам помощи'!F315+'дополн сумма к расх с 01.07.13'!Z82</f>
        <v>24898</v>
      </c>
      <c r="AF332" s="98">
        <f t="shared" si="157"/>
        <v>1484466</v>
      </c>
      <c r="AH332" s="98">
        <f t="shared" si="158"/>
        <v>0</v>
      </c>
    </row>
    <row r="333" spans="1:34" ht="25.5" customHeight="1" x14ac:dyDescent="0.25">
      <c r="A333" s="56" t="s">
        <v>19</v>
      </c>
      <c r="B333" s="54" t="s">
        <v>5</v>
      </c>
      <c r="C333" s="55">
        <f>728497+913327</f>
        <v>1641824</v>
      </c>
      <c r="D333" s="55">
        <f>20853+32504</f>
        <v>53357</v>
      </c>
      <c r="E333" s="55">
        <f>75077+88715</f>
        <v>163792</v>
      </c>
      <c r="F333" s="55">
        <f>4857+5139</f>
        <v>9996</v>
      </c>
      <c r="G333" s="55">
        <f t="shared" si="149"/>
        <v>227145</v>
      </c>
      <c r="H333" s="63">
        <f>128609+200468</f>
        <v>329077</v>
      </c>
      <c r="I333" s="63">
        <f>463028+547142</f>
        <v>1010170</v>
      </c>
      <c r="J333" s="63">
        <f>29961+31696</f>
        <v>61657</v>
      </c>
      <c r="K333" s="63">
        <f t="shared" si="150"/>
        <v>1400904</v>
      </c>
      <c r="L333" s="63">
        <f>1265+1971</f>
        <v>3236</v>
      </c>
      <c r="M333" s="63">
        <f>4553+5380</f>
        <v>9933</v>
      </c>
      <c r="N333" s="63">
        <f>294+312</f>
        <v>606</v>
      </c>
      <c r="O333" s="63">
        <f t="shared" si="151"/>
        <v>13775</v>
      </c>
      <c r="R333" s="62">
        <f t="shared" si="152"/>
        <v>1641824</v>
      </c>
      <c r="S333" s="62">
        <f t="shared" si="153"/>
        <v>0</v>
      </c>
      <c r="V333" s="62">
        <f t="shared" si="154"/>
        <v>385670</v>
      </c>
      <c r="W333" s="62">
        <f t="shared" si="145"/>
        <v>1183895</v>
      </c>
      <c r="X333" s="62">
        <f t="shared" si="146"/>
        <v>72259</v>
      </c>
      <c r="Y333" s="62">
        <f t="shared" si="155"/>
        <v>1641824</v>
      </c>
      <c r="Z333" s="62">
        <f t="shared" si="156"/>
        <v>0</v>
      </c>
      <c r="AC333" s="99">
        <f>'[1]Свод по видам помощи'!D316+'дополн сумма к расх с 01.07.13'!X83</f>
        <v>385670</v>
      </c>
      <c r="AD333" s="99">
        <f>'[1]Свод по видам помощи'!E316+'дополн сумма к расх с 01.07.13'!Y83</f>
        <v>1183895</v>
      </c>
      <c r="AE333" s="99">
        <f>'[1]Свод по видам помощи'!F316+'дополн сумма к расх с 01.07.13'!Z83</f>
        <v>72259</v>
      </c>
      <c r="AF333" s="98">
        <f t="shared" si="157"/>
        <v>1641824</v>
      </c>
      <c r="AH333" s="98">
        <f t="shared" si="158"/>
        <v>0</v>
      </c>
    </row>
    <row r="334" spans="1:34" ht="25.5" customHeight="1" x14ac:dyDescent="0.25">
      <c r="A334" s="56" t="s">
        <v>18</v>
      </c>
      <c r="B334" s="54" t="s">
        <v>4</v>
      </c>
      <c r="C334" s="55">
        <f>630166+904986</f>
        <v>1535152</v>
      </c>
      <c r="D334" s="55">
        <f>12220+17549</f>
        <v>29769</v>
      </c>
      <c r="E334" s="55">
        <f>20592+29573</f>
        <v>50165</v>
      </c>
      <c r="F334" s="55">
        <f>852+1222</f>
        <v>2074</v>
      </c>
      <c r="G334" s="55">
        <f t="shared" si="149"/>
        <v>82008</v>
      </c>
      <c r="H334" s="63">
        <f>209377+300682</f>
        <v>510059</v>
      </c>
      <c r="I334" s="63">
        <f>352826+506711</f>
        <v>859537</v>
      </c>
      <c r="J334" s="63">
        <f>14593+20950</f>
        <v>35543</v>
      </c>
      <c r="K334" s="63">
        <f t="shared" si="150"/>
        <v>1405139</v>
      </c>
      <c r="L334" s="63">
        <f>7153+10272</f>
        <v>17425</v>
      </c>
      <c r="M334" s="63">
        <f>12054+17311</f>
        <v>29365</v>
      </c>
      <c r="N334" s="63">
        <f>499+716</f>
        <v>1215</v>
      </c>
      <c r="O334" s="63">
        <f t="shared" si="151"/>
        <v>48005</v>
      </c>
      <c r="R334" s="62">
        <f t="shared" si="152"/>
        <v>1535152</v>
      </c>
      <c r="S334" s="62">
        <f t="shared" si="153"/>
        <v>0</v>
      </c>
      <c r="V334" s="62">
        <f t="shared" si="154"/>
        <v>557253</v>
      </c>
      <c r="W334" s="62">
        <f t="shared" si="145"/>
        <v>939067</v>
      </c>
      <c r="X334" s="62">
        <f t="shared" si="146"/>
        <v>38832</v>
      </c>
      <c r="Y334" s="62">
        <f t="shared" si="155"/>
        <v>1535152</v>
      </c>
      <c r="Z334" s="62">
        <f t="shared" si="156"/>
        <v>0</v>
      </c>
      <c r="AC334" s="99">
        <f>'[1]Свод по видам помощи'!D317+'дополн сумма к расх с 01.07.13'!X84</f>
        <v>557253</v>
      </c>
      <c r="AD334" s="99">
        <f>'[1]Свод по видам помощи'!E317+'дополн сумма к расх с 01.07.13'!Y84</f>
        <v>939067</v>
      </c>
      <c r="AE334" s="99">
        <f>'[1]Свод по видам помощи'!F317+'дополн сумма к расх с 01.07.13'!Z84</f>
        <v>38832</v>
      </c>
      <c r="AF334" s="98">
        <f t="shared" si="157"/>
        <v>1535152</v>
      </c>
      <c r="AH334" s="98">
        <f t="shared" si="158"/>
        <v>0</v>
      </c>
    </row>
    <row r="335" spans="1:34" ht="25.5" customHeight="1" x14ac:dyDescent="0.25">
      <c r="A335" s="56" t="s">
        <v>25</v>
      </c>
      <c r="B335" s="54" t="s">
        <v>3</v>
      </c>
      <c r="C335" s="55">
        <f>912752+170051</f>
        <v>1082803</v>
      </c>
      <c r="D335" s="55">
        <f>43749+8151</f>
        <v>51900</v>
      </c>
      <c r="E335" s="55">
        <f>21538+4012</f>
        <v>25550</v>
      </c>
      <c r="F335" s="55">
        <f>2019+377</f>
        <v>2396</v>
      </c>
      <c r="G335" s="55">
        <f t="shared" si="149"/>
        <v>79846</v>
      </c>
      <c r="H335" s="63">
        <f>488811+91066</f>
        <v>579877</v>
      </c>
      <c r="I335" s="63">
        <f>240645+44829</f>
        <v>285474</v>
      </c>
      <c r="J335" s="63">
        <f>22561+4209</f>
        <v>26770</v>
      </c>
      <c r="K335" s="63">
        <f t="shared" si="150"/>
        <v>892121</v>
      </c>
      <c r="L335" s="63">
        <f>60729+11314</f>
        <v>72043</v>
      </c>
      <c r="M335" s="63">
        <f>29897+5570</f>
        <v>35467</v>
      </c>
      <c r="N335" s="63">
        <f>2803+523</f>
        <v>3326</v>
      </c>
      <c r="O335" s="63">
        <f t="shared" si="151"/>
        <v>110836</v>
      </c>
      <c r="R335" s="62">
        <f t="shared" si="152"/>
        <v>1082803</v>
      </c>
      <c r="S335" s="62">
        <f t="shared" si="153"/>
        <v>0</v>
      </c>
      <c r="V335" s="62">
        <f t="shared" si="154"/>
        <v>703820</v>
      </c>
      <c r="W335" s="62">
        <f t="shared" si="145"/>
        <v>346491</v>
      </c>
      <c r="X335" s="62">
        <f t="shared" si="146"/>
        <v>32492</v>
      </c>
      <c r="Y335" s="62">
        <f t="shared" si="155"/>
        <v>1082803</v>
      </c>
      <c r="Z335" s="62">
        <f t="shared" si="156"/>
        <v>0</v>
      </c>
      <c r="AC335" s="99">
        <f>'[1]Свод по видам помощи'!D318+'дополн сумма к расх с 01.07.13'!X85</f>
        <v>703820</v>
      </c>
      <c r="AD335" s="99">
        <f>'[1]Свод по видам помощи'!E318+'дополн сумма к расх с 01.07.13'!Y85</f>
        <v>346491</v>
      </c>
      <c r="AE335" s="99">
        <f>'[1]Свод по видам помощи'!F318+'дополн сумма к расх с 01.07.13'!Z85</f>
        <v>32492</v>
      </c>
      <c r="AF335" s="98">
        <f t="shared" si="157"/>
        <v>1082803</v>
      </c>
      <c r="AH335" s="98">
        <f t="shared" si="158"/>
        <v>0</v>
      </c>
    </row>
    <row r="336" spans="1:34" ht="54" hidden="1" customHeight="1" x14ac:dyDescent="0.25">
      <c r="A336" s="56" t="s">
        <v>30</v>
      </c>
      <c r="B336" s="54" t="s">
        <v>2</v>
      </c>
      <c r="C336" s="55">
        <v>91145</v>
      </c>
      <c r="D336" s="55">
        <v>2581</v>
      </c>
      <c r="E336" s="55">
        <v>0</v>
      </c>
      <c r="F336" s="55">
        <v>0</v>
      </c>
      <c r="G336" s="55">
        <f t="shared" si="149"/>
        <v>2581</v>
      </c>
      <c r="H336" s="63">
        <v>76304</v>
      </c>
      <c r="I336" s="63">
        <v>0</v>
      </c>
      <c r="J336" s="63">
        <v>0</v>
      </c>
      <c r="K336" s="63">
        <f t="shared" si="150"/>
        <v>76304</v>
      </c>
      <c r="L336" s="63">
        <v>12260</v>
      </c>
      <c r="M336" s="63">
        <v>0</v>
      </c>
      <c r="N336" s="63">
        <v>0</v>
      </c>
      <c r="O336" s="63">
        <f t="shared" si="151"/>
        <v>12260</v>
      </c>
      <c r="R336" s="62">
        <f t="shared" si="152"/>
        <v>91145</v>
      </c>
      <c r="S336" s="62">
        <f t="shared" si="153"/>
        <v>0</v>
      </c>
      <c r="V336" s="62">
        <f t="shared" si="154"/>
        <v>91145</v>
      </c>
      <c r="W336" s="62">
        <f t="shared" si="145"/>
        <v>0</v>
      </c>
      <c r="X336" s="62">
        <f t="shared" si="146"/>
        <v>0</v>
      </c>
      <c r="Y336" s="62">
        <f t="shared" si="155"/>
        <v>91145</v>
      </c>
      <c r="Z336" s="62">
        <f t="shared" si="156"/>
        <v>0</v>
      </c>
    </row>
    <row r="337" spans="1:34" ht="39.75" hidden="1" customHeight="1" x14ac:dyDescent="0.25">
      <c r="A337" s="56" t="s">
        <v>31</v>
      </c>
      <c r="B337" s="54" t="s">
        <v>1</v>
      </c>
      <c r="C337" s="55">
        <v>69093</v>
      </c>
      <c r="D337" s="55">
        <v>5139</v>
      </c>
      <c r="E337" s="55">
        <v>0</v>
      </c>
      <c r="F337" s="55">
        <v>0</v>
      </c>
      <c r="G337" s="55">
        <f t="shared" si="149"/>
        <v>5139</v>
      </c>
      <c r="H337" s="63">
        <v>61167</v>
      </c>
      <c r="I337" s="63">
        <v>0</v>
      </c>
      <c r="J337" s="63">
        <v>0</v>
      </c>
      <c r="K337" s="63">
        <f t="shared" si="150"/>
        <v>61167</v>
      </c>
      <c r="L337" s="63">
        <v>2787</v>
      </c>
      <c r="M337" s="63">
        <v>0</v>
      </c>
      <c r="N337" s="63">
        <v>0</v>
      </c>
      <c r="O337" s="63">
        <f t="shared" si="151"/>
        <v>2787</v>
      </c>
      <c r="R337" s="62">
        <f t="shared" si="152"/>
        <v>69093</v>
      </c>
      <c r="S337" s="62">
        <f t="shared" si="153"/>
        <v>0</v>
      </c>
      <c r="V337" s="62">
        <f t="shared" si="154"/>
        <v>69093</v>
      </c>
      <c r="W337" s="62">
        <f t="shared" si="145"/>
        <v>0</v>
      </c>
      <c r="X337" s="62">
        <f t="shared" si="146"/>
        <v>0</v>
      </c>
      <c r="Y337" s="62">
        <f t="shared" si="155"/>
        <v>69093</v>
      </c>
      <c r="Z337" s="62">
        <f t="shared" si="156"/>
        <v>0</v>
      </c>
    </row>
    <row r="338" spans="1:34" ht="33" hidden="1" customHeight="1" x14ac:dyDescent="0.25">
      <c r="A338" s="56" t="s">
        <v>32</v>
      </c>
      <c r="B338" s="54" t="s">
        <v>73</v>
      </c>
      <c r="C338" s="55">
        <v>41245</v>
      </c>
      <c r="D338" s="55">
        <v>8112</v>
      </c>
      <c r="E338" s="55">
        <v>0</v>
      </c>
      <c r="F338" s="55">
        <v>0</v>
      </c>
      <c r="G338" s="55">
        <f t="shared" si="149"/>
        <v>8112</v>
      </c>
      <c r="H338" s="63">
        <v>26556</v>
      </c>
      <c r="I338" s="63">
        <v>0</v>
      </c>
      <c r="J338" s="63">
        <v>0</v>
      </c>
      <c r="K338" s="63">
        <f t="shared" si="150"/>
        <v>26556</v>
      </c>
      <c r="L338" s="63">
        <v>6577</v>
      </c>
      <c r="M338" s="63">
        <v>0</v>
      </c>
      <c r="N338" s="63">
        <v>0</v>
      </c>
      <c r="O338" s="63">
        <f t="shared" si="151"/>
        <v>6577</v>
      </c>
      <c r="R338" s="62">
        <f t="shared" si="152"/>
        <v>41245</v>
      </c>
      <c r="S338" s="62">
        <f t="shared" si="153"/>
        <v>0</v>
      </c>
      <c r="V338" s="62">
        <f t="shared" si="154"/>
        <v>41245</v>
      </c>
      <c r="W338" s="62">
        <f t="shared" si="145"/>
        <v>0</v>
      </c>
      <c r="X338" s="62">
        <f t="shared" si="146"/>
        <v>0</v>
      </c>
      <c r="Y338" s="62">
        <f t="shared" si="155"/>
        <v>41245</v>
      </c>
      <c r="Z338" s="62">
        <f t="shared" si="156"/>
        <v>0</v>
      </c>
    </row>
    <row r="339" spans="1:34" ht="33" hidden="1" customHeight="1" x14ac:dyDescent="0.25">
      <c r="A339" s="56" t="s">
        <v>90</v>
      </c>
      <c r="B339" s="70" t="s">
        <v>91</v>
      </c>
      <c r="C339" s="55">
        <f>E339+I339+M339</f>
        <v>61662</v>
      </c>
      <c r="D339" s="55">
        <v>0</v>
      </c>
      <c r="E339" s="55">
        <v>10436</v>
      </c>
      <c r="F339" s="55">
        <v>0</v>
      </c>
      <c r="G339" s="55">
        <f t="shared" si="149"/>
        <v>10436</v>
      </c>
      <c r="H339" s="63">
        <v>0</v>
      </c>
      <c r="I339" s="63">
        <v>34306</v>
      </c>
      <c r="J339" s="63">
        <v>0</v>
      </c>
      <c r="K339" s="63">
        <f t="shared" si="150"/>
        <v>34306</v>
      </c>
      <c r="L339" s="63">
        <v>0</v>
      </c>
      <c r="M339" s="63">
        <v>16920</v>
      </c>
      <c r="N339" s="63">
        <v>0</v>
      </c>
      <c r="O339" s="63">
        <f t="shared" si="151"/>
        <v>16920</v>
      </c>
      <c r="R339" s="62">
        <f t="shared" si="152"/>
        <v>61662</v>
      </c>
      <c r="S339" s="62">
        <f>R339-C339</f>
        <v>0</v>
      </c>
      <c r="V339" s="62">
        <f t="shared" si="154"/>
        <v>0</v>
      </c>
      <c r="W339" s="62">
        <f t="shared" si="145"/>
        <v>61662</v>
      </c>
      <c r="X339" s="62">
        <f t="shared" si="146"/>
        <v>0</v>
      </c>
      <c r="Y339" s="62">
        <f t="shared" si="155"/>
        <v>61662</v>
      </c>
      <c r="Z339" s="62">
        <f t="shared" si="156"/>
        <v>0</v>
      </c>
    </row>
    <row r="340" spans="1:34" ht="25.5" customHeight="1" x14ac:dyDescent="0.25">
      <c r="A340" s="57"/>
      <c r="B340" s="57" t="s">
        <v>0</v>
      </c>
      <c r="C340" s="58">
        <f>C322+C324+C326+C328+C329+C332+C333+C334+C335</f>
        <v>15203316</v>
      </c>
      <c r="D340" s="58">
        <f t="shared" ref="D340:O340" si="159">D322+D324+D326+D328+D329+D332+D333+D334+D335</f>
        <v>424154</v>
      </c>
      <c r="E340" s="58">
        <f>E322+E324+E326+E328+E329+E332+E333+E334+E335</f>
        <v>1184009</v>
      </c>
      <c r="F340" s="58">
        <f t="shared" si="159"/>
        <v>27937</v>
      </c>
      <c r="G340" s="58">
        <f t="shared" si="159"/>
        <v>1636100</v>
      </c>
      <c r="H340" s="58">
        <f>H322+H324+H326+H328+H329+H332+H333+H334+H335</f>
        <v>3578997</v>
      </c>
      <c r="I340" s="58">
        <f t="shared" si="159"/>
        <v>8318904</v>
      </c>
      <c r="J340" s="58">
        <f t="shared" si="159"/>
        <v>218408</v>
      </c>
      <c r="K340" s="58">
        <f t="shared" si="159"/>
        <v>12116309</v>
      </c>
      <c r="L340" s="58">
        <f>L322+L324+L326+L328+L329+L332+L333+L334+L335</f>
        <v>332152</v>
      </c>
      <c r="M340" s="58">
        <f t="shared" si="159"/>
        <v>1101924</v>
      </c>
      <c r="N340" s="58">
        <f t="shared" si="159"/>
        <v>16831</v>
      </c>
      <c r="O340" s="58">
        <f t="shared" si="159"/>
        <v>1450907</v>
      </c>
      <c r="R340" s="62">
        <f t="shared" si="152"/>
        <v>15203316</v>
      </c>
      <c r="S340" s="62">
        <f t="shared" si="153"/>
        <v>0</v>
      </c>
      <c r="V340" s="62">
        <f t="shared" si="154"/>
        <v>4335303</v>
      </c>
      <c r="W340" s="62">
        <f t="shared" si="145"/>
        <v>10604837</v>
      </c>
      <c r="X340" s="62">
        <f t="shared" si="146"/>
        <v>263176</v>
      </c>
      <c r="Y340" s="62">
        <f t="shared" si="155"/>
        <v>15203316</v>
      </c>
      <c r="Z340" s="62">
        <f t="shared" si="156"/>
        <v>0</v>
      </c>
    </row>
    <row r="342" spans="1:34" x14ac:dyDescent="0.25">
      <c r="A342" s="161" t="s">
        <v>95</v>
      </c>
      <c r="B342" s="161"/>
      <c r="C342" s="161"/>
      <c r="D342" s="161"/>
      <c r="E342" s="161"/>
      <c r="F342" s="161"/>
      <c r="G342" s="161"/>
      <c r="H342" s="161"/>
      <c r="I342" s="161"/>
      <c r="J342" s="161"/>
      <c r="K342" s="161"/>
      <c r="L342" s="161"/>
      <c r="M342" s="161"/>
      <c r="N342" s="161"/>
      <c r="O342" s="161"/>
    </row>
    <row r="343" spans="1:34" s="4" customFormat="1" ht="28.5" customHeight="1" x14ac:dyDescent="0.25">
      <c r="A343" s="152" t="s">
        <v>17</v>
      </c>
      <c r="B343" s="152" t="s">
        <v>33</v>
      </c>
      <c r="C343" s="152" t="s">
        <v>87</v>
      </c>
      <c r="D343" s="152" t="s">
        <v>69</v>
      </c>
      <c r="E343" s="152"/>
      <c r="F343" s="152"/>
      <c r="G343" s="152"/>
      <c r="H343" s="152"/>
      <c r="I343" s="152"/>
      <c r="J343" s="152"/>
      <c r="K343" s="152"/>
      <c r="L343" s="152"/>
      <c r="M343" s="152"/>
      <c r="N343" s="152"/>
      <c r="O343" s="152"/>
      <c r="R343" s="61"/>
      <c r="S343" s="61"/>
      <c r="V343" s="61"/>
      <c r="W343" s="61"/>
      <c r="X343" s="61"/>
      <c r="Y343" s="61"/>
      <c r="Z343" s="61"/>
      <c r="AC343" s="95"/>
      <c r="AD343" s="95"/>
      <c r="AE343" s="95"/>
      <c r="AF343" s="95"/>
      <c r="AG343" s="93"/>
      <c r="AH343" s="95"/>
    </row>
    <row r="344" spans="1:34" s="4" customFormat="1" ht="41.25" customHeight="1" x14ac:dyDescent="0.25">
      <c r="A344" s="152"/>
      <c r="B344" s="152"/>
      <c r="C344" s="152"/>
      <c r="D344" s="154" t="s">
        <v>36</v>
      </c>
      <c r="E344" s="154"/>
      <c r="F344" s="154"/>
      <c r="G344" s="154"/>
      <c r="H344" s="155" t="s">
        <v>37</v>
      </c>
      <c r="I344" s="156"/>
      <c r="J344" s="156"/>
      <c r="K344" s="157"/>
      <c r="L344" s="155" t="s">
        <v>38</v>
      </c>
      <c r="M344" s="156"/>
      <c r="N344" s="156"/>
      <c r="O344" s="157"/>
      <c r="R344" s="61"/>
      <c r="S344" s="61"/>
      <c r="V344" s="61"/>
      <c r="W344" s="61"/>
      <c r="X344" s="61"/>
      <c r="Y344" s="61"/>
      <c r="Z344" s="61"/>
      <c r="AC344" s="95"/>
      <c r="AD344" s="95"/>
      <c r="AE344" s="95"/>
      <c r="AF344" s="95"/>
      <c r="AG344" s="93"/>
      <c r="AH344" s="95"/>
    </row>
    <row r="345" spans="1:34" s="4" customFormat="1" ht="59.25" customHeight="1" x14ac:dyDescent="0.25">
      <c r="A345" s="152"/>
      <c r="B345" s="152"/>
      <c r="C345" s="152"/>
      <c r="D345" s="59" t="s">
        <v>66</v>
      </c>
      <c r="E345" s="59" t="s">
        <v>67</v>
      </c>
      <c r="F345" s="59" t="s">
        <v>68</v>
      </c>
      <c r="G345" s="59" t="s">
        <v>70</v>
      </c>
      <c r="H345" s="65" t="s">
        <v>66</v>
      </c>
      <c r="I345" s="65" t="s">
        <v>67</v>
      </c>
      <c r="J345" s="65" t="s">
        <v>68</v>
      </c>
      <c r="K345" s="65" t="s">
        <v>71</v>
      </c>
      <c r="L345" s="65" t="s">
        <v>66</v>
      </c>
      <c r="M345" s="65" t="s">
        <v>67</v>
      </c>
      <c r="N345" s="65" t="s">
        <v>68</v>
      </c>
      <c r="O345" s="65" t="s">
        <v>72</v>
      </c>
      <c r="R345" s="61"/>
      <c r="S345" s="61"/>
      <c r="V345" s="61" t="s">
        <v>44</v>
      </c>
      <c r="W345" s="61" t="s">
        <v>96</v>
      </c>
      <c r="X345" s="61" t="s">
        <v>97</v>
      </c>
      <c r="Y345" s="61"/>
      <c r="Z345" s="61"/>
      <c r="AC345" s="95"/>
      <c r="AD345" s="95"/>
      <c r="AE345" s="95"/>
      <c r="AF345" s="95"/>
      <c r="AG345" s="93"/>
      <c r="AH345" s="95"/>
    </row>
    <row r="346" spans="1:34" s="3" customFormat="1" ht="14.25" customHeight="1" x14ac:dyDescent="0.25">
      <c r="A346" s="53">
        <v>1</v>
      </c>
      <c r="B346" s="53">
        <v>2</v>
      </c>
      <c r="C346" s="53">
        <v>3</v>
      </c>
      <c r="D346" s="53">
        <v>4</v>
      </c>
      <c r="E346" s="53">
        <v>5</v>
      </c>
      <c r="F346" s="53">
        <v>6</v>
      </c>
      <c r="G346" s="53">
        <v>7</v>
      </c>
      <c r="H346" s="66">
        <v>8</v>
      </c>
      <c r="I346" s="66">
        <v>9</v>
      </c>
      <c r="J346" s="66">
        <v>10</v>
      </c>
      <c r="K346" s="66">
        <v>11</v>
      </c>
      <c r="L346" s="66">
        <v>12</v>
      </c>
      <c r="M346" s="66">
        <v>13</v>
      </c>
      <c r="N346" s="66">
        <v>14</v>
      </c>
      <c r="O346" s="66">
        <v>15</v>
      </c>
      <c r="R346" s="61"/>
      <c r="S346" s="61"/>
      <c r="V346" s="61"/>
      <c r="W346" s="61"/>
      <c r="X346" s="61"/>
      <c r="Y346" s="61"/>
      <c r="Z346" s="61"/>
      <c r="AC346" s="95"/>
      <c r="AD346" s="95"/>
      <c r="AE346" s="95"/>
      <c r="AF346" s="95"/>
      <c r="AG346" s="94"/>
      <c r="AH346" s="95"/>
    </row>
    <row r="347" spans="1:34" s="3" customFormat="1" ht="25.5" customHeight="1" x14ac:dyDescent="0.25">
      <c r="A347" s="53" t="s">
        <v>16</v>
      </c>
      <c r="B347" s="54" t="s">
        <v>15</v>
      </c>
      <c r="C347" s="55">
        <f>4366330+585632</f>
        <v>4951962</v>
      </c>
      <c r="D347" s="55">
        <f>129851+17407</f>
        <v>147258</v>
      </c>
      <c r="E347" s="55">
        <f>551427+73969</f>
        <v>625396</v>
      </c>
      <c r="F347" s="55">
        <v>0</v>
      </c>
      <c r="G347" s="55">
        <f>D347+E347+F347</f>
        <v>772654</v>
      </c>
      <c r="H347" s="63">
        <f>547536+73400</f>
        <v>620936</v>
      </c>
      <c r="I347" s="63">
        <f>2325160+311899</f>
        <v>2637059</v>
      </c>
      <c r="J347" s="63">
        <v>0</v>
      </c>
      <c r="K347" s="63">
        <f>H347+I347+J347</f>
        <v>3257995</v>
      </c>
      <c r="L347" s="63">
        <f>154835+20757</f>
        <v>175592</v>
      </c>
      <c r="M347" s="63">
        <f>657521+88200</f>
        <v>745721</v>
      </c>
      <c r="N347" s="63">
        <v>0</v>
      </c>
      <c r="O347" s="63">
        <f>L347+M347+N347</f>
        <v>921313</v>
      </c>
      <c r="R347" s="62">
        <f>G347+K347+O347</f>
        <v>4951962</v>
      </c>
      <c r="S347" s="62">
        <f>R347-C347</f>
        <v>0</v>
      </c>
      <c r="V347" s="62">
        <f>D347+H347+L347</f>
        <v>943786</v>
      </c>
      <c r="W347" s="62">
        <f t="shared" ref="W347:W365" si="160">E347+I347+M347</f>
        <v>4008176</v>
      </c>
      <c r="X347" s="62">
        <f t="shared" ref="X347:X365" si="161">F347+J347+N347</f>
        <v>0</v>
      </c>
      <c r="Y347" s="62">
        <f>V347+W347+X347</f>
        <v>4951962</v>
      </c>
      <c r="Z347" s="62">
        <f>Y347-C347</f>
        <v>0</v>
      </c>
      <c r="AC347" s="99">
        <f>'[1]Свод по видам помощи'!D328+'дополн сумма к расх с 01.07.13'!X94</f>
        <v>943786</v>
      </c>
      <c r="AD347" s="99">
        <f>'[1]Свод по видам помощи'!E328+'дополн сумма к расх с 01.07.13'!Y94</f>
        <v>4008176</v>
      </c>
      <c r="AE347" s="99">
        <f>'[1]Свод по видам помощи'!F328+'дополн сумма к расх с 01.07.13'!Z94</f>
        <v>0</v>
      </c>
      <c r="AF347" s="98">
        <f t="shared" ref="AF347" si="162">AC347+AD347+AE347</f>
        <v>4951962</v>
      </c>
      <c r="AG347" s="92"/>
      <c r="AH347" s="98">
        <f t="shared" ref="AH347" si="163">AF347-Y347</f>
        <v>0</v>
      </c>
    </row>
    <row r="348" spans="1:34" ht="40.5" hidden="1" customHeight="1" x14ac:dyDescent="0.25">
      <c r="A348" s="56" t="s">
        <v>24</v>
      </c>
      <c r="B348" s="54" t="s">
        <v>14</v>
      </c>
      <c r="C348" s="55">
        <v>309054</v>
      </c>
      <c r="D348" s="55">
        <v>36331</v>
      </c>
      <c r="E348" s="55">
        <v>26859</v>
      </c>
      <c r="F348" s="55">
        <v>852</v>
      </c>
      <c r="G348" s="55">
        <f t="shared" ref="G348:G364" si="164">D348+E348+F348</f>
        <v>64042</v>
      </c>
      <c r="H348" s="63">
        <v>106770</v>
      </c>
      <c r="I348" s="63">
        <v>78935</v>
      </c>
      <c r="J348" s="63">
        <v>2503</v>
      </c>
      <c r="K348" s="63">
        <f t="shared" ref="K348:K364" si="165">H348+I348+J348</f>
        <v>188208</v>
      </c>
      <c r="L348" s="63">
        <v>32225</v>
      </c>
      <c r="M348" s="63">
        <v>23824</v>
      </c>
      <c r="N348" s="63">
        <v>755</v>
      </c>
      <c r="O348" s="63">
        <f t="shared" ref="O348:O364" si="166">L348+M348+N348</f>
        <v>56804</v>
      </c>
      <c r="R348" s="62">
        <f t="shared" ref="R348:R365" si="167">G348+K348+O348</f>
        <v>309054</v>
      </c>
      <c r="S348" s="62">
        <f t="shared" ref="S348:S365" si="168">R348-C348</f>
        <v>0</v>
      </c>
      <c r="V348" s="62">
        <f t="shared" ref="V348:V365" si="169">D348+H348+L348</f>
        <v>175326</v>
      </c>
      <c r="W348" s="62">
        <f t="shared" si="160"/>
        <v>129618</v>
      </c>
      <c r="X348" s="62">
        <f t="shared" si="161"/>
        <v>4110</v>
      </c>
      <c r="Y348" s="62">
        <f t="shared" ref="Y348:Y365" si="170">V348+W348+X348</f>
        <v>309054</v>
      </c>
      <c r="Z348" s="62">
        <f t="shared" ref="Z348:Z365" si="171">Y348-C348</f>
        <v>0</v>
      </c>
      <c r="AC348" s="99">
        <f>'[1]Свод по видам помощи'!D329+'дополн сумма к расх с 01.07.13'!X95</f>
        <v>175326</v>
      </c>
      <c r="AF348" s="98">
        <f t="shared" ref="AF348:AF364" si="172">AC348+AD348+AE348</f>
        <v>175326</v>
      </c>
      <c r="AH348" s="98">
        <f t="shared" ref="AH348:AH364" si="173">AF348-Y348</f>
        <v>-133728</v>
      </c>
    </row>
    <row r="349" spans="1:34" ht="34.5" customHeight="1" x14ac:dyDescent="0.25">
      <c r="A349" s="56" t="s">
        <v>24</v>
      </c>
      <c r="B349" s="54" t="s">
        <v>13</v>
      </c>
      <c r="C349" s="55">
        <f>2139598+74369</f>
        <v>2213967</v>
      </c>
      <c r="D349" s="55">
        <v>0</v>
      </c>
      <c r="E349" s="55">
        <f>121273+4215</f>
        <v>125488</v>
      </c>
      <c r="F349" s="55">
        <v>0</v>
      </c>
      <c r="G349" s="55">
        <f t="shared" si="164"/>
        <v>125488</v>
      </c>
      <c r="H349" s="63">
        <v>0</v>
      </c>
      <c r="I349" s="63">
        <f>1797583+62481</f>
        <v>1860064</v>
      </c>
      <c r="J349" s="63">
        <v>0</v>
      </c>
      <c r="K349" s="63">
        <f t="shared" si="165"/>
        <v>1860064</v>
      </c>
      <c r="L349" s="63">
        <v>0</v>
      </c>
      <c r="M349" s="63">
        <f>220742+7673</f>
        <v>228415</v>
      </c>
      <c r="N349" s="63">
        <v>0</v>
      </c>
      <c r="O349" s="63">
        <f t="shared" si="166"/>
        <v>228415</v>
      </c>
      <c r="R349" s="62">
        <f t="shared" si="167"/>
        <v>2213967</v>
      </c>
      <c r="S349" s="62">
        <f t="shared" si="168"/>
        <v>0</v>
      </c>
      <c r="V349" s="62">
        <f t="shared" si="169"/>
        <v>0</v>
      </c>
      <c r="W349" s="62">
        <f t="shared" si="160"/>
        <v>2213967</v>
      </c>
      <c r="X349" s="62">
        <f t="shared" si="161"/>
        <v>0</v>
      </c>
      <c r="Y349" s="62">
        <f t="shared" si="170"/>
        <v>2213967</v>
      </c>
      <c r="Z349" s="62">
        <f t="shared" si="171"/>
        <v>0</v>
      </c>
      <c r="AC349" s="99">
        <f>'[1]Свод по видам помощи'!D330+'дополн сумма к расх с 01.07.13'!X95</f>
        <v>0</v>
      </c>
      <c r="AD349" s="99">
        <f>'[1]Свод по видам помощи'!E330+'дополн сумма к расх с 01.07.13'!Y95</f>
        <v>2213967</v>
      </c>
      <c r="AE349" s="99">
        <f>'[1]Свод по видам помощи'!F330+'дополн сумма к расх с 01.07.13'!Z95</f>
        <v>0</v>
      </c>
      <c r="AF349" s="98">
        <f t="shared" si="172"/>
        <v>2213967</v>
      </c>
      <c r="AH349" s="98">
        <f t="shared" si="173"/>
        <v>0</v>
      </c>
    </row>
    <row r="350" spans="1:34" ht="40.5" hidden="1" customHeight="1" x14ac:dyDescent="0.25">
      <c r="A350" s="56" t="s">
        <v>22</v>
      </c>
      <c r="B350" s="54" t="s">
        <v>12</v>
      </c>
      <c r="C350" s="55">
        <v>214278</v>
      </c>
      <c r="D350" s="55">
        <v>24648</v>
      </c>
      <c r="E350" s="55">
        <v>0</v>
      </c>
      <c r="F350" s="55">
        <v>0</v>
      </c>
      <c r="G350" s="55">
        <f t="shared" si="164"/>
        <v>24648</v>
      </c>
      <c r="H350" s="63">
        <v>160306</v>
      </c>
      <c r="I350" s="63">
        <v>0</v>
      </c>
      <c r="J350" s="63">
        <v>0</v>
      </c>
      <c r="K350" s="63">
        <f t="shared" si="165"/>
        <v>160306</v>
      </c>
      <c r="L350" s="63">
        <v>29324</v>
      </c>
      <c r="M350" s="63">
        <v>0</v>
      </c>
      <c r="N350" s="63">
        <v>0</v>
      </c>
      <c r="O350" s="63">
        <f t="shared" si="166"/>
        <v>29324</v>
      </c>
      <c r="R350" s="62">
        <f t="shared" si="167"/>
        <v>214278</v>
      </c>
      <c r="S350" s="62">
        <f t="shared" si="168"/>
        <v>0</v>
      </c>
      <c r="V350" s="62">
        <f t="shared" si="169"/>
        <v>214278</v>
      </c>
      <c r="W350" s="62">
        <f t="shared" si="160"/>
        <v>0</v>
      </c>
      <c r="X350" s="62">
        <f t="shared" si="161"/>
        <v>0</v>
      </c>
      <c r="Y350" s="62">
        <f t="shared" si="170"/>
        <v>214278</v>
      </c>
      <c r="Z350" s="62">
        <f t="shared" si="171"/>
        <v>0</v>
      </c>
      <c r="AC350" s="99">
        <f>'[1]Свод по видам помощи'!D331+'дополн сумма к расх с 01.07.13'!X96</f>
        <v>234435</v>
      </c>
      <c r="AF350" s="98">
        <f t="shared" si="172"/>
        <v>234435</v>
      </c>
      <c r="AH350" s="98">
        <f t="shared" si="173"/>
        <v>20157</v>
      </c>
    </row>
    <row r="351" spans="1:34" ht="39.75" customHeight="1" x14ac:dyDescent="0.25">
      <c r="A351" s="56" t="s">
        <v>23</v>
      </c>
      <c r="B351" s="54" t="s">
        <v>11</v>
      </c>
      <c r="C351" s="55">
        <f>252283+66573</f>
        <v>318856</v>
      </c>
      <c r="D351" s="55">
        <f>9763+2577</f>
        <v>12340</v>
      </c>
      <c r="E351" s="55">
        <f>15653+4130</f>
        <v>19783</v>
      </c>
      <c r="F351" s="55">
        <f>6838+1804</f>
        <v>8642</v>
      </c>
      <c r="G351" s="55">
        <f t="shared" si="164"/>
        <v>40765</v>
      </c>
      <c r="H351" s="63">
        <f>51792+13671</f>
        <v>65463</v>
      </c>
      <c r="I351" s="63">
        <f>83036+21908</f>
        <v>104944</v>
      </c>
      <c r="J351" s="63">
        <f>36273+9572</f>
        <v>45845</v>
      </c>
      <c r="K351" s="63">
        <f t="shared" si="165"/>
        <v>216252</v>
      </c>
      <c r="L351" s="63">
        <f>14810+3909</f>
        <v>18719</v>
      </c>
      <c r="M351" s="63">
        <f>23745+6265</f>
        <v>30010</v>
      </c>
      <c r="N351" s="63">
        <f>10373+2737</f>
        <v>13110</v>
      </c>
      <c r="O351" s="63">
        <f t="shared" si="166"/>
        <v>61839</v>
      </c>
      <c r="R351" s="62">
        <f t="shared" si="167"/>
        <v>318856</v>
      </c>
      <c r="S351" s="62">
        <f t="shared" si="168"/>
        <v>0</v>
      </c>
      <c r="V351" s="62">
        <f t="shared" si="169"/>
        <v>96522</v>
      </c>
      <c r="W351" s="62">
        <f t="shared" si="160"/>
        <v>154737</v>
      </c>
      <c r="X351" s="62">
        <f t="shared" si="161"/>
        <v>67597</v>
      </c>
      <c r="Y351" s="62">
        <f t="shared" si="170"/>
        <v>318856</v>
      </c>
      <c r="Z351" s="62">
        <f t="shared" si="171"/>
        <v>0</v>
      </c>
      <c r="AC351" s="99">
        <f>'[1]Свод по видам помощи'!D332+'дополн сумма к расх с 01.07.13'!X96</f>
        <v>96522</v>
      </c>
      <c r="AD351" s="99">
        <f>'[1]Свод по видам помощи'!E332+'дополн сумма к расх с 01.07.13'!Y96</f>
        <v>154737</v>
      </c>
      <c r="AE351" s="99">
        <f>'[1]Свод по видам помощи'!F332+'дополн сумма к расх с 01.07.13'!Z96</f>
        <v>67597</v>
      </c>
      <c r="AF351" s="98">
        <f t="shared" si="172"/>
        <v>318856</v>
      </c>
      <c r="AH351" s="98">
        <f t="shared" si="173"/>
        <v>0</v>
      </c>
    </row>
    <row r="352" spans="1:34" ht="28.5" hidden="1" customHeight="1" x14ac:dyDescent="0.25">
      <c r="A352" s="56" t="s">
        <v>20</v>
      </c>
      <c r="B352" s="54" t="s">
        <v>34</v>
      </c>
      <c r="C352" s="55">
        <v>346334</v>
      </c>
      <c r="D352" s="55">
        <v>64827</v>
      </c>
      <c r="E352" s="55">
        <v>0</v>
      </c>
      <c r="F352" s="55">
        <v>0</v>
      </c>
      <c r="G352" s="55">
        <f t="shared" si="164"/>
        <v>64827</v>
      </c>
      <c r="H352" s="63">
        <v>211600</v>
      </c>
      <c r="I352" s="63">
        <v>0</v>
      </c>
      <c r="J352" s="63">
        <v>0</v>
      </c>
      <c r="K352" s="63">
        <f t="shared" si="165"/>
        <v>211600</v>
      </c>
      <c r="L352" s="63">
        <v>69907</v>
      </c>
      <c r="M352" s="63">
        <v>0</v>
      </c>
      <c r="N352" s="63">
        <v>0</v>
      </c>
      <c r="O352" s="63">
        <f t="shared" si="166"/>
        <v>69907</v>
      </c>
      <c r="R352" s="62">
        <f t="shared" si="167"/>
        <v>346334</v>
      </c>
      <c r="S352" s="62">
        <f t="shared" si="168"/>
        <v>0</v>
      </c>
      <c r="V352" s="62">
        <f t="shared" si="169"/>
        <v>346334</v>
      </c>
      <c r="W352" s="62">
        <f t="shared" si="160"/>
        <v>0</v>
      </c>
      <c r="X352" s="62">
        <f t="shared" si="161"/>
        <v>0</v>
      </c>
      <c r="Y352" s="62">
        <f t="shared" si="170"/>
        <v>346334</v>
      </c>
      <c r="Z352" s="62">
        <f t="shared" si="171"/>
        <v>0</v>
      </c>
      <c r="AC352" s="99">
        <f>'[1]Свод по видам помощи'!D333+'дополн сумма к расх с 01.07.13'!X97</f>
        <v>349955</v>
      </c>
      <c r="AF352" s="98">
        <f t="shared" si="172"/>
        <v>349955</v>
      </c>
      <c r="AH352" s="98">
        <f t="shared" si="173"/>
        <v>3621</v>
      </c>
    </row>
    <row r="353" spans="1:34" ht="34.5" customHeight="1" x14ac:dyDescent="0.25">
      <c r="A353" s="56" t="s">
        <v>22</v>
      </c>
      <c r="B353" s="54" t="s">
        <v>10</v>
      </c>
      <c r="C353" s="55">
        <f>1246196+8580</f>
        <v>1254776</v>
      </c>
      <c r="D353" s="55">
        <f>27068+186</f>
        <v>27254</v>
      </c>
      <c r="E353" s="55">
        <f>35413+244</f>
        <v>35657</v>
      </c>
      <c r="F353" s="55">
        <f>1661+11</f>
        <v>1672</v>
      </c>
      <c r="G353" s="55">
        <f t="shared" si="164"/>
        <v>64583</v>
      </c>
      <c r="H353" s="63">
        <f>420989+2899</f>
        <v>423888</v>
      </c>
      <c r="I353" s="63">
        <f>550777+3792</f>
        <v>554569</v>
      </c>
      <c r="J353" s="63">
        <f>25838+178</f>
        <v>26016</v>
      </c>
      <c r="K353" s="63">
        <f t="shared" si="165"/>
        <v>1004473</v>
      </c>
      <c r="L353" s="63">
        <f>77838+536</f>
        <v>78374</v>
      </c>
      <c r="M353" s="63">
        <f>101835+701</f>
        <v>102536</v>
      </c>
      <c r="N353" s="63">
        <f>4777+33</f>
        <v>4810</v>
      </c>
      <c r="O353" s="63">
        <f t="shared" si="166"/>
        <v>185720</v>
      </c>
      <c r="R353" s="62">
        <f t="shared" si="167"/>
        <v>1254776</v>
      </c>
      <c r="S353" s="62">
        <f t="shared" si="168"/>
        <v>0</v>
      </c>
      <c r="V353" s="62">
        <f t="shared" si="169"/>
        <v>529516</v>
      </c>
      <c r="W353" s="62">
        <f t="shared" si="160"/>
        <v>692762</v>
      </c>
      <c r="X353" s="62">
        <f t="shared" si="161"/>
        <v>32498</v>
      </c>
      <c r="Y353" s="62">
        <f t="shared" si="170"/>
        <v>1254776</v>
      </c>
      <c r="Z353" s="62">
        <f t="shared" si="171"/>
        <v>0</v>
      </c>
      <c r="AC353" s="99">
        <f>'[1]Свод по видам помощи'!D334+'дополн сумма к расх с 01.07.13'!X97</f>
        <v>529516</v>
      </c>
      <c r="AD353" s="99">
        <f>'[1]Свод по видам помощи'!E334+'дополн сумма к расх с 01.07.13'!Y97</f>
        <v>692762</v>
      </c>
      <c r="AE353" s="99">
        <f>'[1]Свод по видам помощи'!F334+'дополн сумма к расх с 01.07.13'!Z97</f>
        <v>32498</v>
      </c>
      <c r="AF353" s="98">
        <f t="shared" si="172"/>
        <v>1254776</v>
      </c>
      <c r="AH353" s="98">
        <f t="shared" si="173"/>
        <v>0</v>
      </c>
    </row>
    <row r="354" spans="1:34" ht="25.5" customHeight="1" x14ac:dyDescent="0.25">
      <c r="A354" s="56" t="s">
        <v>21</v>
      </c>
      <c r="B354" s="54" t="s">
        <v>9</v>
      </c>
      <c r="C354" s="55">
        <f>924607+443399</f>
        <v>1368006</v>
      </c>
      <c r="D354" s="55">
        <f>80863+40074</f>
        <v>120937</v>
      </c>
      <c r="E354" s="55">
        <f>137072+64500</f>
        <v>201572</v>
      </c>
      <c r="F354" s="55">
        <f>4766+2224</f>
        <v>6990</v>
      </c>
      <c r="G354" s="55">
        <f t="shared" si="164"/>
        <v>329499</v>
      </c>
      <c r="H354" s="63">
        <f>252667+125218</f>
        <v>377885</v>
      </c>
      <c r="I354" s="63">
        <f>428301+201537</f>
        <v>629838</v>
      </c>
      <c r="J354" s="63">
        <f>14891+6947</f>
        <v>21838</v>
      </c>
      <c r="K354" s="63">
        <f t="shared" si="165"/>
        <v>1029561</v>
      </c>
      <c r="L354" s="63">
        <f>2196+1088</f>
        <v>3284</v>
      </c>
      <c r="M354" s="63">
        <f>3722+1751</f>
        <v>5473</v>
      </c>
      <c r="N354" s="63">
        <f>129+60</f>
        <v>189</v>
      </c>
      <c r="O354" s="63">
        <f t="shared" si="166"/>
        <v>8946</v>
      </c>
      <c r="R354" s="62">
        <f t="shared" si="167"/>
        <v>1368006</v>
      </c>
      <c r="S354" s="62">
        <f t="shared" si="168"/>
        <v>0</v>
      </c>
      <c r="V354" s="62">
        <f t="shared" si="169"/>
        <v>502106</v>
      </c>
      <c r="W354" s="62">
        <f t="shared" si="160"/>
        <v>836883</v>
      </c>
      <c r="X354" s="62">
        <f t="shared" si="161"/>
        <v>29017</v>
      </c>
      <c r="Y354" s="62">
        <f t="shared" si="170"/>
        <v>1368006</v>
      </c>
      <c r="Z354" s="62">
        <f t="shared" si="171"/>
        <v>0</v>
      </c>
      <c r="AC354" s="99">
        <f>'[1]Свод по видам помощи'!D335+'дополн сумма к расх с 01.07.13'!X98</f>
        <v>502106</v>
      </c>
      <c r="AD354" s="99">
        <f>'[1]Свод по видам помощи'!E335+'дополн сумма к расх с 01.07.13'!Y98</f>
        <v>836883</v>
      </c>
      <c r="AE354" s="99">
        <f>'[1]Свод по видам помощи'!F335+'дополн сумма к расх с 01.07.13'!Z98</f>
        <v>29017</v>
      </c>
      <c r="AF354" s="98">
        <f t="shared" si="172"/>
        <v>1368006</v>
      </c>
      <c r="AH354" s="98">
        <f t="shared" si="173"/>
        <v>0</v>
      </c>
    </row>
    <row r="355" spans="1:34" ht="25.5" hidden="1" customHeight="1" x14ac:dyDescent="0.25">
      <c r="A355" s="56" t="s">
        <v>25</v>
      </c>
      <c r="B355" s="54" t="s">
        <v>8</v>
      </c>
      <c r="C355" s="55">
        <v>1644657</v>
      </c>
      <c r="D355" s="55">
        <v>10706</v>
      </c>
      <c r="E355" s="55">
        <v>54258</v>
      </c>
      <c r="F355" s="55">
        <v>0</v>
      </c>
      <c r="G355" s="55">
        <f t="shared" si="164"/>
        <v>64964</v>
      </c>
      <c r="H355" s="63">
        <v>173758</v>
      </c>
      <c r="I355" s="63">
        <v>880599</v>
      </c>
      <c r="J355" s="63">
        <v>0</v>
      </c>
      <c r="K355" s="63">
        <f t="shared" si="165"/>
        <v>1054357</v>
      </c>
      <c r="L355" s="63">
        <v>86575</v>
      </c>
      <c r="M355" s="63">
        <v>438761</v>
      </c>
      <c r="N355" s="63">
        <v>0</v>
      </c>
      <c r="O355" s="63">
        <f t="shared" si="166"/>
        <v>525336</v>
      </c>
      <c r="R355" s="62">
        <f t="shared" si="167"/>
        <v>1644657</v>
      </c>
      <c r="S355" s="62">
        <f t="shared" si="168"/>
        <v>0</v>
      </c>
      <c r="V355" s="62">
        <f t="shared" si="169"/>
        <v>271039</v>
      </c>
      <c r="W355" s="62">
        <f t="shared" si="160"/>
        <v>1373618</v>
      </c>
      <c r="X355" s="62">
        <f t="shared" si="161"/>
        <v>0</v>
      </c>
      <c r="Y355" s="62">
        <f t="shared" si="170"/>
        <v>1644657</v>
      </c>
      <c r="Z355" s="62">
        <f t="shared" si="171"/>
        <v>0</v>
      </c>
      <c r="AC355" s="99">
        <f>'[1]Свод по видам помощи'!D336+'дополн сумма к расх с 01.07.13'!X99</f>
        <v>852568</v>
      </c>
      <c r="AF355" s="98">
        <f t="shared" si="172"/>
        <v>852568</v>
      </c>
      <c r="AH355" s="98">
        <f t="shared" si="173"/>
        <v>-792089</v>
      </c>
    </row>
    <row r="356" spans="1:34" ht="25.5" hidden="1" customHeight="1" x14ac:dyDescent="0.25">
      <c r="A356" s="56" t="s">
        <v>26</v>
      </c>
      <c r="B356" s="54" t="s">
        <v>7</v>
      </c>
      <c r="C356" s="55">
        <v>1149417</v>
      </c>
      <c r="D356" s="55">
        <v>2409</v>
      </c>
      <c r="E356" s="55">
        <v>18591</v>
      </c>
      <c r="F356" s="55">
        <v>0</v>
      </c>
      <c r="G356" s="55">
        <f t="shared" si="164"/>
        <v>21000</v>
      </c>
      <c r="H356" s="63">
        <v>117676</v>
      </c>
      <c r="I356" s="63">
        <v>908270</v>
      </c>
      <c r="J356" s="63">
        <v>0</v>
      </c>
      <c r="K356" s="63">
        <f t="shared" si="165"/>
        <v>1025946</v>
      </c>
      <c r="L356" s="63">
        <v>11754</v>
      </c>
      <c r="M356" s="63">
        <v>90717</v>
      </c>
      <c r="N356" s="63">
        <v>0</v>
      </c>
      <c r="O356" s="63">
        <f t="shared" si="166"/>
        <v>102471</v>
      </c>
      <c r="R356" s="62">
        <f t="shared" si="167"/>
        <v>1149417</v>
      </c>
      <c r="S356" s="62">
        <f t="shared" si="168"/>
        <v>0</v>
      </c>
      <c r="V356" s="62">
        <f t="shared" si="169"/>
        <v>131839</v>
      </c>
      <c r="W356" s="62">
        <f t="shared" si="160"/>
        <v>1017578</v>
      </c>
      <c r="X356" s="62">
        <f t="shared" si="161"/>
        <v>0</v>
      </c>
      <c r="Y356" s="62">
        <f t="shared" si="170"/>
        <v>1149417</v>
      </c>
      <c r="Z356" s="62">
        <f t="shared" si="171"/>
        <v>0</v>
      </c>
      <c r="AC356" s="99">
        <f>'[1]Свод по видам помощи'!D337+'дополн сумма к расх с 01.07.13'!X100</f>
        <v>366659</v>
      </c>
      <c r="AF356" s="98">
        <f t="shared" si="172"/>
        <v>366659</v>
      </c>
      <c r="AH356" s="98">
        <f t="shared" si="173"/>
        <v>-782758</v>
      </c>
    </row>
    <row r="357" spans="1:34" ht="25.5" customHeight="1" x14ac:dyDescent="0.25">
      <c r="A357" s="56" t="s">
        <v>20</v>
      </c>
      <c r="B357" s="54" t="s">
        <v>6</v>
      </c>
      <c r="C357" s="55">
        <v>1046642</v>
      </c>
      <c r="D357" s="55">
        <v>4187</v>
      </c>
      <c r="E357" s="55">
        <v>2966</v>
      </c>
      <c r="F357" s="55">
        <v>140</v>
      </c>
      <c r="G357" s="55">
        <f t="shared" si="164"/>
        <v>7293</v>
      </c>
      <c r="H357" s="63">
        <v>595554</v>
      </c>
      <c r="I357" s="63">
        <v>422099</v>
      </c>
      <c r="J357" s="63">
        <v>20125</v>
      </c>
      <c r="K357" s="63">
        <f t="shared" si="165"/>
        <v>1037778</v>
      </c>
      <c r="L357" s="63">
        <v>901</v>
      </c>
      <c r="M357" s="63">
        <v>639</v>
      </c>
      <c r="N357" s="63">
        <v>31</v>
      </c>
      <c r="O357" s="63">
        <f t="shared" si="166"/>
        <v>1571</v>
      </c>
      <c r="R357" s="62">
        <f t="shared" si="167"/>
        <v>1046642</v>
      </c>
      <c r="S357" s="62">
        <f t="shared" si="168"/>
        <v>0</v>
      </c>
      <c r="V357" s="62">
        <f t="shared" si="169"/>
        <v>600642</v>
      </c>
      <c r="W357" s="62">
        <f t="shared" si="160"/>
        <v>425704</v>
      </c>
      <c r="X357" s="62">
        <f t="shared" si="161"/>
        <v>20296</v>
      </c>
      <c r="Y357" s="62">
        <f t="shared" si="170"/>
        <v>1046642</v>
      </c>
      <c r="Z357" s="62">
        <f t="shared" si="171"/>
        <v>0</v>
      </c>
      <c r="AC357" s="99">
        <f>'[1]Свод по видам помощи'!D338+'дополн сумма к расх с 01.07.13'!X99</f>
        <v>1021118</v>
      </c>
      <c r="AD357" s="99">
        <f>'[1]Свод по видам помощи'!E338+'дополн сумма к расх с 01.07.13'!Y99</f>
        <v>768132</v>
      </c>
      <c r="AE357" s="99">
        <f>'[1]Свод по видам помощи'!F338+'дополн сумма к расх с 01.07.13'!Z99</f>
        <v>30893</v>
      </c>
      <c r="AF357" s="98">
        <f t="shared" si="172"/>
        <v>1820143</v>
      </c>
      <c r="AH357" s="98">
        <f t="shared" si="173"/>
        <v>773501</v>
      </c>
    </row>
    <row r="358" spans="1:34" ht="25.5" customHeight="1" x14ac:dyDescent="0.25">
      <c r="A358" s="56" t="s">
        <v>19</v>
      </c>
      <c r="B358" s="54" t="s">
        <v>5</v>
      </c>
      <c r="C358" s="55">
        <f>728498+912884</f>
        <v>1641382</v>
      </c>
      <c r="D358" s="55">
        <f>20853+32487</f>
        <v>53340</v>
      </c>
      <c r="E358" s="55">
        <f>75077+88673</f>
        <v>163750</v>
      </c>
      <c r="F358" s="55">
        <f>4858+5137</f>
        <v>9995</v>
      </c>
      <c r="G358" s="55">
        <f t="shared" si="164"/>
        <v>227085</v>
      </c>
      <c r="H358" s="63">
        <f>128609+200363</f>
        <v>328972</v>
      </c>
      <c r="I358" s="63">
        <f>463028+546883</f>
        <v>1009911</v>
      </c>
      <c r="J358" s="63">
        <f>29961+31682</f>
        <v>61643</v>
      </c>
      <c r="K358" s="63">
        <f t="shared" si="165"/>
        <v>1400526</v>
      </c>
      <c r="L358" s="63">
        <f>1264+1970</f>
        <v>3234</v>
      </c>
      <c r="M358" s="63">
        <f>4553+5377</f>
        <v>9930</v>
      </c>
      <c r="N358" s="63">
        <f>295+312</f>
        <v>607</v>
      </c>
      <c r="O358" s="63">
        <f t="shared" si="166"/>
        <v>13771</v>
      </c>
      <c r="R358" s="62">
        <f t="shared" si="167"/>
        <v>1641382</v>
      </c>
      <c r="S358" s="62">
        <f t="shared" si="168"/>
        <v>0</v>
      </c>
      <c r="V358" s="62">
        <f t="shared" si="169"/>
        <v>385546</v>
      </c>
      <c r="W358" s="62">
        <f t="shared" si="160"/>
        <v>1183591</v>
      </c>
      <c r="X358" s="62">
        <f t="shared" si="161"/>
        <v>72245</v>
      </c>
      <c r="Y358" s="62">
        <f t="shared" si="170"/>
        <v>1641382</v>
      </c>
      <c r="Z358" s="62">
        <f t="shared" si="171"/>
        <v>0</v>
      </c>
      <c r="AC358" s="99">
        <f>'[1]Свод по видам помощи'!D339+'дополн сумма к расх с 01.07.13'!X100</f>
        <v>385546</v>
      </c>
      <c r="AD358" s="99">
        <f>'[1]Свод по видам помощи'!E339+'дополн сумма к расх с 01.07.13'!Y100</f>
        <v>1183592</v>
      </c>
      <c r="AE358" s="99">
        <f>'[1]Свод по видам помощи'!F339+'дополн сумма к расх с 01.07.13'!Z100</f>
        <v>72244</v>
      </c>
      <c r="AF358" s="98">
        <f t="shared" si="172"/>
        <v>1641382</v>
      </c>
      <c r="AH358" s="98">
        <f t="shared" si="173"/>
        <v>0</v>
      </c>
    </row>
    <row r="359" spans="1:34" ht="25.5" customHeight="1" x14ac:dyDescent="0.25">
      <c r="A359" s="56" t="s">
        <v>18</v>
      </c>
      <c r="B359" s="54" t="s">
        <v>4</v>
      </c>
      <c r="C359" s="55">
        <f>754424+1082945</f>
        <v>1837369</v>
      </c>
      <c r="D359" s="55">
        <f>14629+21000</f>
        <v>35629</v>
      </c>
      <c r="E359" s="55">
        <f>24652+35388</f>
        <v>60040</v>
      </c>
      <c r="F359" s="55">
        <f>1020+1463</f>
        <v>2483</v>
      </c>
      <c r="G359" s="55">
        <f t="shared" si="164"/>
        <v>98152</v>
      </c>
      <c r="H359" s="63">
        <f>250663+359810</f>
        <v>610473</v>
      </c>
      <c r="I359" s="63">
        <f>422398+606351</f>
        <v>1028749</v>
      </c>
      <c r="J359" s="63">
        <f>17471+25069</f>
        <v>42540</v>
      </c>
      <c r="K359" s="63">
        <f t="shared" si="165"/>
        <v>1681762</v>
      </c>
      <c r="L359" s="63">
        <f>8563+12292</f>
        <v>20855</v>
      </c>
      <c r="M359" s="63">
        <f>14431+20715</f>
        <v>35146</v>
      </c>
      <c r="N359" s="63">
        <f>597+857</f>
        <v>1454</v>
      </c>
      <c r="O359" s="63">
        <f t="shared" si="166"/>
        <v>57455</v>
      </c>
      <c r="R359" s="62">
        <f t="shared" si="167"/>
        <v>1837369</v>
      </c>
      <c r="S359" s="62">
        <f t="shared" si="168"/>
        <v>0</v>
      </c>
      <c r="V359" s="62">
        <f t="shared" si="169"/>
        <v>666957</v>
      </c>
      <c r="W359" s="62">
        <f t="shared" si="160"/>
        <v>1123935</v>
      </c>
      <c r="X359" s="62">
        <f t="shared" si="161"/>
        <v>46477</v>
      </c>
      <c r="Y359" s="62">
        <f t="shared" si="170"/>
        <v>1837369</v>
      </c>
      <c r="Z359" s="62">
        <f t="shared" si="171"/>
        <v>0</v>
      </c>
      <c r="AC359" s="99">
        <f>'[1]Свод по видам помощи'!D340+'дополн сумма к расх с 01.07.13'!X101</f>
        <v>666957</v>
      </c>
      <c r="AD359" s="99">
        <f>'[1]Свод по видам помощи'!E340+'дополн сумма к расх с 01.07.13'!Y101</f>
        <v>1123935</v>
      </c>
      <c r="AE359" s="99">
        <f>'[1]Свод по видам помощи'!F340+'дополн сумма к расх с 01.07.13'!Z101</f>
        <v>46477</v>
      </c>
      <c r="AF359" s="98">
        <f t="shared" si="172"/>
        <v>1837369</v>
      </c>
      <c r="AH359" s="98">
        <f t="shared" si="173"/>
        <v>0</v>
      </c>
    </row>
    <row r="360" spans="1:34" ht="25.5" customHeight="1" x14ac:dyDescent="0.25">
      <c r="A360" s="56" t="s">
        <v>25</v>
      </c>
      <c r="B360" s="54" t="s">
        <v>3</v>
      </c>
      <c r="C360" s="55">
        <f>912752+170141</f>
        <v>1082893</v>
      </c>
      <c r="D360" s="55">
        <f>43749+8155</f>
        <v>51904</v>
      </c>
      <c r="E360" s="55">
        <f>21538+4014</f>
        <v>25552</v>
      </c>
      <c r="F360" s="55">
        <f>2019+377</f>
        <v>2396</v>
      </c>
      <c r="G360" s="55">
        <f t="shared" si="164"/>
        <v>79852</v>
      </c>
      <c r="H360" s="63">
        <f>488811+91114</f>
        <v>579925</v>
      </c>
      <c r="I360" s="63">
        <f>240645+44853</f>
        <v>285498</v>
      </c>
      <c r="J360" s="63">
        <f>22561+4212</f>
        <v>26773</v>
      </c>
      <c r="K360" s="63">
        <f t="shared" si="165"/>
        <v>892196</v>
      </c>
      <c r="L360" s="63">
        <f>60729+11320</f>
        <v>72049</v>
      </c>
      <c r="M360" s="63">
        <f>29897+5573</f>
        <v>35470</v>
      </c>
      <c r="N360" s="63">
        <f>2803+523</f>
        <v>3326</v>
      </c>
      <c r="O360" s="63">
        <f t="shared" si="166"/>
        <v>110845</v>
      </c>
      <c r="R360" s="62">
        <f t="shared" si="167"/>
        <v>1082893</v>
      </c>
      <c r="S360" s="62">
        <f t="shared" si="168"/>
        <v>0</v>
      </c>
      <c r="V360" s="62">
        <f t="shared" si="169"/>
        <v>703878</v>
      </c>
      <c r="W360" s="62">
        <f t="shared" si="160"/>
        <v>346520</v>
      </c>
      <c r="X360" s="62">
        <f t="shared" si="161"/>
        <v>32495</v>
      </c>
      <c r="Y360" s="62">
        <f t="shared" si="170"/>
        <v>1082893</v>
      </c>
      <c r="Z360" s="62">
        <f t="shared" si="171"/>
        <v>0</v>
      </c>
      <c r="AC360" s="99">
        <f>'[1]Свод по видам помощи'!D341+'дополн сумма к расх с 01.07.13'!X102</f>
        <v>703878</v>
      </c>
      <c r="AD360" s="99">
        <f>'[1]Свод по видам помощи'!E341+'дополн сумма к расх с 01.07.13'!Y102</f>
        <v>346520</v>
      </c>
      <c r="AE360" s="99">
        <f>'[1]Свод по видам помощи'!F341+'дополн сумма к расх с 01.07.13'!Z102</f>
        <v>32495</v>
      </c>
      <c r="AF360" s="98">
        <f t="shared" si="172"/>
        <v>1082893</v>
      </c>
      <c r="AH360" s="98">
        <f t="shared" si="173"/>
        <v>0</v>
      </c>
    </row>
    <row r="361" spans="1:34" ht="54" hidden="1" customHeight="1" x14ac:dyDescent="0.25">
      <c r="A361" s="56" t="s">
        <v>30</v>
      </c>
      <c r="B361" s="54" t="s">
        <v>2</v>
      </c>
      <c r="C361" s="55">
        <v>100940</v>
      </c>
      <c r="D361" s="55">
        <v>2859</v>
      </c>
      <c r="E361" s="55">
        <v>0</v>
      </c>
      <c r="F361" s="55">
        <v>0</v>
      </c>
      <c r="G361" s="55">
        <f t="shared" si="164"/>
        <v>2859</v>
      </c>
      <c r="H361" s="63">
        <v>84504</v>
      </c>
      <c r="I361" s="63">
        <v>0</v>
      </c>
      <c r="J361" s="63">
        <v>0</v>
      </c>
      <c r="K361" s="63">
        <f t="shared" si="165"/>
        <v>84504</v>
      </c>
      <c r="L361" s="63">
        <v>13577</v>
      </c>
      <c r="M361" s="63">
        <v>0</v>
      </c>
      <c r="N361" s="63">
        <v>0</v>
      </c>
      <c r="O361" s="63">
        <f t="shared" si="166"/>
        <v>13577</v>
      </c>
      <c r="R361" s="62">
        <f t="shared" si="167"/>
        <v>100940</v>
      </c>
      <c r="S361" s="62">
        <f t="shared" si="168"/>
        <v>0</v>
      </c>
      <c r="V361" s="62">
        <f t="shared" si="169"/>
        <v>100940</v>
      </c>
      <c r="W361" s="62">
        <f t="shared" si="160"/>
        <v>0</v>
      </c>
      <c r="X361" s="62">
        <f t="shared" si="161"/>
        <v>0</v>
      </c>
      <c r="Y361" s="62">
        <f t="shared" si="170"/>
        <v>100940</v>
      </c>
      <c r="Z361" s="62">
        <f t="shared" si="171"/>
        <v>0</v>
      </c>
      <c r="AC361" s="99">
        <f>'[1]Свод по видам помощи'!D342+'дополн сумма к расх с 01.07.13'!X103</f>
        <v>1722702</v>
      </c>
      <c r="AF361" s="98">
        <f t="shared" si="172"/>
        <v>1722702</v>
      </c>
      <c r="AH361" s="98">
        <f t="shared" si="173"/>
        <v>1621762</v>
      </c>
    </row>
    <row r="362" spans="1:34" ht="39.75" hidden="1" customHeight="1" x14ac:dyDescent="0.25">
      <c r="A362" s="56" t="s">
        <v>31</v>
      </c>
      <c r="B362" s="54" t="s">
        <v>1</v>
      </c>
      <c r="C362" s="55">
        <v>100043</v>
      </c>
      <c r="D362" s="55">
        <v>7441</v>
      </c>
      <c r="E362" s="55">
        <v>0</v>
      </c>
      <c r="F362" s="55">
        <v>0</v>
      </c>
      <c r="G362" s="55">
        <f t="shared" si="164"/>
        <v>7441</v>
      </c>
      <c r="H362" s="63">
        <v>88566</v>
      </c>
      <c r="I362" s="63">
        <v>0</v>
      </c>
      <c r="J362" s="63">
        <v>0</v>
      </c>
      <c r="K362" s="63">
        <f t="shared" si="165"/>
        <v>88566</v>
      </c>
      <c r="L362" s="63">
        <v>4036</v>
      </c>
      <c r="M362" s="63">
        <v>0</v>
      </c>
      <c r="N362" s="63">
        <v>0</v>
      </c>
      <c r="O362" s="63">
        <f t="shared" si="166"/>
        <v>4036</v>
      </c>
      <c r="R362" s="62">
        <f t="shared" si="167"/>
        <v>100043</v>
      </c>
      <c r="S362" s="62">
        <f t="shared" si="168"/>
        <v>0</v>
      </c>
      <c r="V362" s="62">
        <f t="shared" si="169"/>
        <v>100043</v>
      </c>
      <c r="W362" s="62">
        <f t="shared" si="160"/>
        <v>0</v>
      </c>
      <c r="X362" s="62">
        <f t="shared" si="161"/>
        <v>0</v>
      </c>
      <c r="Y362" s="62">
        <f t="shared" si="170"/>
        <v>100043</v>
      </c>
      <c r="Z362" s="62">
        <f t="shared" si="171"/>
        <v>0</v>
      </c>
      <c r="AC362" s="99">
        <f>'[1]Свод по видам помощи'!D343+'дополн сумма к расх с 01.07.13'!X104</f>
        <v>100043</v>
      </c>
      <c r="AF362" s="98">
        <f t="shared" si="172"/>
        <v>100043</v>
      </c>
      <c r="AH362" s="98">
        <f t="shared" si="173"/>
        <v>0</v>
      </c>
    </row>
    <row r="363" spans="1:34" ht="33" hidden="1" customHeight="1" x14ac:dyDescent="0.25">
      <c r="A363" s="56" t="s">
        <v>32</v>
      </c>
      <c r="B363" s="54" t="s">
        <v>73</v>
      </c>
      <c r="C363" s="55">
        <v>41245</v>
      </c>
      <c r="D363" s="55">
        <v>8112</v>
      </c>
      <c r="E363" s="55">
        <v>0</v>
      </c>
      <c r="F363" s="55">
        <v>0</v>
      </c>
      <c r="G363" s="55">
        <f t="shared" si="164"/>
        <v>8112</v>
      </c>
      <c r="H363" s="63">
        <v>26556</v>
      </c>
      <c r="I363" s="63">
        <v>0</v>
      </c>
      <c r="J363" s="63">
        <v>0</v>
      </c>
      <c r="K363" s="63">
        <f t="shared" si="165"/>
        <v>26556</v>
      </c>
      <c r="L363" s="63">
        <v>6577</v>
      </c>
      <c r="M363" s="63">
        <v>0</v>
      </c>
      <c r="N363" s="63">
        <v>0</v>
      </c>
      <c r="O363" s="63">
        <f t="shared" si="166"/>
        <v>6577</v>
      </c>
      <c r="R363" s="62">
        <f t="shared" si="167"/>
        <v>41245</v>
      </c>
      <c r="S363" s="62">
        <f t="shared" si="168"/>
        <v>0</v>
      </c>
      <c r="V363" s="62">
        <f t="shared" si="169"/>
        <v>41245</v>
      </c>
      <c r="W363" s="62">
        <f t="shared" si="160"/>
        <v>0</v>
      </c>
      <c r="X363" s="62">
        <f t="shared" si="161"/>
        <v>0</v>
      </c>
      <c r="Y363" s="62">
        <f t="shared" si="170"/>
        <v>41245</v>
      </c>
      <c r="Z363" s="62">
        <f t="shared" si="171"/>
        <v>0</v>
      </c>
      <c r="AC363" s="99">
        <f>'[1]Свод по видам помощи'!D344+'дополн сумма к расх с 01.07.13'!X105</f>
        <v>41245</v>
      </c>
      <c r="AF363" s="98">
        <f t="shared" si="172"/>
        <v>41245</v>
      </c>
      <c r="AH363" s="98">
        <f t="shared" si="173"/>
        <v>0</v>
      </c>
    </row>
    <row r="364" spans="1:34" ht="33" hidden="1" customHeight="1" x14ac:dyDescent="0.25">
      <c r="A364" s="56" t="s">
        <v>90</v>
      </c>
      <c r="B364" s="70" t="s">
        <v>91</v>
      </c>
      <c r="C364" s="55">
        <f>E364+I364+M364</f>
        <v>61662</v>
      </c>
      <c r="D364" s="55">
        <v>0</v>
      </c>
      <c r="E364" s="55">
        <v>10436</v>
      </c>
      <c r="F364" s="55">
        <v>0</v>
      </c>
      <c r="G364" s="55">
        <f t="shared" si="164"/>
        <v>10436</v>
      </c>
      <c r="H364" s="63">
        <v>0</v>
      </c>
      <c r="I364" s="63">
        <v>34306</v>
      </c>
      <c r="J364" s="63">
        <v>0</v>
      </c>
      <c r="K364" s="63">
        <f t="shared" si="165"/>
        <v>34306</v>
      </c>
      <c r="L364" s="63">
        <v>0</v>
      </c>
      <c r="M364" s="63">
        <v>16920</v>
      </c>
      <c r="N364" s="63">
        <v>0</v>
      </c>
      <c r="O364" s="63">
        <f t="shared" si="166"/>
        <v>16920</v>
      </c>
      <c r="R364" s="62">
        <f t="shared" si="167"/>
        <v>61662</v>
      </c>
      <c r="S364" s="62">
        <f>R364-C364</f>
        <v>0</v>
      </c>
      <c r="V364" s="62">
        <f t="shared" si="169"/>
        <v>0</v>
      </c>
      <c r="W364" s="62">
        <f t="shared" si="160"/>
        <v>61662</v>
      </c>
      <c r="X364" s="62">
        <f t="shared" si="161"/>
        <v>0</v>
      </c>
      <c r="Y364" s="62">
        <f t="shared" si="170"/>
        <v>61662</v>
      </c>
      <c r="Z364" s="62">
        <f t="shared" si="171"/>
        <v>0</v>
      </c>
      <c r="AC364" s="99">
        <f>'[1]Свод по видам помощи'!D345+'дополн сумма к расх с 01.07.13'!X106</f>
        <v>0</v>
      </c>
      <c r="AF364" s="98">
        <f t="shared" si="172"/>
        <v>0</v>
      </c>
      <c r="AH364" s="98">
        <f t="shared" si="173"/>
        <v>-61662</v>
      </c>
    </row>
    <row r="365" spans="1:34" ht="25.5" customHeight="1" x14ac:dyDescent="0.25">
      <c r="A365" s="57"/>
      <c r="B365" s="57" t="s">
        <v>0</v>
      </c>
      <c r="C365" s="58">
        <f>C347+C349+C351+C353+C354+C357+C358+C359+C360</f>
        <v>15715853</v>
      </c>
      <c r="D365" s="58">
        <f t="shared" ref="D365:O365" si="174">D347+D349+D351+D353+D354+D357+D358+D359+D360</f>
        <v>452849</v>
      </c>
      <c r="E365" s="58">
        <f t="shared" si="174"/>
        <v>1260204</v>
      </c>
      <c r="F365" s="58">
        <f>F347+F349+F351+F353+F354+F357+F358+F359+F360</f>
        <v>32318</v>
      </c>
      <c r="G365" s="58">
        <f t="shared" si="174"/>
        <v>1745371</v>
      </c>
      <c r="H365" s="58">
        <f t="shared" si="174"/>
        <v>3603096</v>
      </c>
      <c r="I365" s="58">
        <f t="shared" si="174"/>
        <v>8532731</v>
      </c>
      <c r="J365" s="58">
        <f t="shared" si="174"/>
        <v>244780</v>
      </c>
      <c r="K365" s="58">
        <f>K347+K349+K351+K353+K354+K357+K358+K359+K360</f>
        <v>12380607</v>
      </c>
      <c r="L365" s="58">
        <f t="shared" si="174"/>
        <v>373008</v>
      </c>
      <c r="M365" s="58">
        <f t="shared" si="174"/>
        <v>1193340</v>
      </c>
      <c r="N365" s="58">
        <f>N347+N349+N351+N353+N354+N357+N358+N359+N360</f>
        <v>23527</v>
      </c>
      <c r="O365" s="58">
        <f t="shared" si="174"/>
        <v>1589875</v>
      </c>
      <c r="R365" s="62">
        <f t="shared" si="167"/>
        <v>15715853</v>
      </c>
      <c r="S365" s="62">
        <f t="shared" si="168"/>
        <v>0</v>
      </c>
      <c r="V365" s="62">
        <f t="shared" si="169"/>
        <v>4428953</v>
      </c>
      <c r="W365" s="62">
        <f t="shared" si="160"/>
        <v>10986275</v>
      </c>
      <c r="X365" s="62">
        <f t="shared" si="161"/>
        <v>300625</v>
      </c>
      <c r="Y365" s="62">
        <f t="shared" si="170"/>
        <v>15715853</v>
      </c>
      <c r="Z365" s="62">
        <f t="shared" si="171"/>
        <v>0</v>
      </c>
      <c r="AF365" s="98"/>
      <c r="AH365" s="98"/>
    </row>
    <row r="367" spans="1:34" s="4" customFormat="1" ht="28.5" customHeight="1" x14ac:dyDescent="0.25">
      <c r="A367" s="152" t="s">
        <v>17</v>
      </c>
      <c r="B367" s="152" t="s">
        <v>33</v>
      </c>
      <c r="C367" s="159" t="s">
        <v>88</v>
      </c>
      <c r="D367" s="152" t="s">
        <v>69</v>
      </c>
      <c r="E367" s="152"/>
      <c r="F367" s="152"/>
      <c r="G367" s="152"/>
      <c r="H367" s="152"/>
      <c r="I367" s="152"/>
      <c r="J367" s="152"/>
      <c r="K367" s="152"/>
      <c r="L367" s="152"/>
      <c r="M367" s="152"/>
      <c r="N367" s="152"/>
      <c r="O367" s="152"/>
      <c r="R367" s="61"/>
      <c r="S367" s="61"/>
      <c r="V367" s="61"/>
      <c r="W367" s="61"/>
      <c r="X367" s="61"/>
      <c r="Y367" s="61"/>
      <c r="Z367" s="61"/>
      <c r="AC367" s="95"/>
      <c r="AD367" s="95"/>
      <c r="AE367" s="95"/>
      <c r="AF367" s="95"/>
      <c r="AG367" s="93"/>
      <c r="AH367" s="95"/>
    </row>
    <row r="368" spans="1:34" s="4" customFormat="1" ht="41.25" customHeight="1" x14ac:dyDescent="0.25">
      <c r="A368" s="152"/>
      <c r="B368" s="152"/>
      <c r="C368" s="159"/>
      <c r="D368" s="154" t="s">
        <v>36</v>
      </c>
      <c r="E368" s="154"/>
      <c r="F368" s="154"/>
      <c r="G368" s="154"/>
      <c r="H368" s="155" t="s">
        <v>37</v>
      </c>
      <c r="I368" s="156"/>
      <c r="J368" s="156"/>
      <c r="K368" s="157"/>
      <c r="L368" s="155" t="s">
        <v>38</v>
      </c>
      <c r="M368" s="156"/>
      <c r="N368" s="156"/>
      <c r="O368" s="157"/>
      <c r="R368" s="61"/>
      <c r="S368" s="61"/>
      <c r="V368" s="61"/>
      <c r="W368" s="61"/>
      <c r="X368" s="61"/>
      <c r="Y368" s="61"/>
      <c r="Z368" s="61"/>
      <c r="AC368" s="95"/>
      <c r="AD368" s="95"/>
      <c r="AE368" s="95"/>
      <c r="AF368" s="95"/>
      <c r="AG368" s="93"/>
      <c r="AH368" s="95"/>
    </row>
    <row r="369" spans="1:34" s="4" customFormat="1" ht="59.25" customHeight="1" x14ac:dyDescent="0.25">
      <c r="A369" s="152"/>
      <c r="B369" s="152"/>
      <c r="C369" s="159"/>
      <c r="D369" s="59" t="s">
        <v>66</v>
      </c>
      <c r="E369" s="59" t="s">
        <v>67</v>
      </c>
      <c r="F369" s="59" t="s">
        <v>68</v>
      </c>
      <c r="G369" s="59" t="s">
        <v>70</v>
      </c>
      <c r="H369" s="65" t="s">
        <v>66</v>
      </c>
      <c r="I369" s="65" t="s">
        <v>67</v>
      </c>
      <c r="J369" s="65" t="s">
        <v>68</v>
      </c>
      <c r="K369" s="65" t="s">
        <v>71</v>
      </c>
      <c r="L369" s="65" t="s">
        <v>66</v>
      </c>
      <c r="M369" s="65" t="s">
        <v>67</v>
      </c>
      <c r="N369" s="65" t="s">
        <v>68</v>
      </c>
      <c r="O369" s="65" t="s">
        <v>72</v>
      </c>
      <c r="R369" s="61"/>
      <c r="S369" s="61"/>
      <c r="V369" s="61" t="s">
        <v>44</v>
      </c>
      <c r="W369" s="61" t="s">
        <v>96</v>
      </c>
      <c r="X369" s="61" t="s">
        <v>97</v>
      </c>
      <c r="Y369" s="61"/>
      <c r="Z369" s="61"/>
      <c r="AC369" s="95"/>
      <c r="AD369" s="95"/>
      <c r="AE369" s="95"/>
      <c r="AF369" s="95"/>
      <c r="AG369" s="93"/>
      <c r="AH369" s="95"/>
    </row>
    <row r="370" spans="1:34" s="3" customFormat="1" ht="14.25" customHeight="1" x14ac:dyDescent="0.25">
      <c r="A370" s="53">
        <v>1</v>
      </c>
      <c r="B370" s="53">
        <v>2</v>
      </c>
      <c r="C370" s="53">
        <v>3</v>
      </c>
      <c r="D370" s="53">
        <v>4</v>
      </c>
      <c r="E370" s="53">
        <v>5</v>
      </c>
      <c r="F370" s="53">
        <v>6</v>
      </c>
      <c r="G370" s="53">
        <v>7</v>
      </c>
      <c r="H370" s="66">
        <v>8</v>
      </c>
      <c r="I370" s="66">
        <v>9</v>
      </c>
      <c r="J370" s="66">
        <v>10</v>
      </c>
      <c r="K370" s="66">
        <v>11</v>
      </c>
      <c r="L370" s="66">
        <v>12</v>
      </c>
      <c r="M370" s="66">
        <v>13</v>
      </c>
      <c r="N370" s="66">
        <v>14</v>
      </c>
      <c r="O370" s="66">
        <v>15</v>
      </c>
      <c r="R370" s="61"/>
      <c r="S370" s="61"/>
      <c r="V370" s="61"/>
      <c r="W370" s="61"/>
      <c r="X370" s="61"/>
      <c r="Y370" s="61"/>
      <c r="Z370" s="61"/>
      <c r="AC370" s="95"/>
      <c r="AD370" s="95"/>
      <c r="AE370" s="95"/>
      <c r="AF370" s="95"/>
      <c r="AG370" s="94"/>
      <c r="AH370" s="95"/>
    </row>
    <row r="371" spans="1:34" s="3" customFormat="1" ht="25.5" customHeight="1" x14ac:dyDescent="0.25">
      <c r="A371" s="53" t="s">
        <v>16</v>
      </c>
      <c r="B371" s="54" t="s">
        <v>15</v>
      </c>
      <c r="C371" s="55">
        <f t="shared" ref="C371:F388" si="175">C298+C322+C347</f>
        <v>15504269</v>
      </c>
      <c r="D371" s="55">
        <f t="shared" si="175"/>
        <v>387323</v>
      </c>
      <c r="E371" s="55">
        <f t="shared" si="175"/>
        <v>2031807</v>
      </c>
      <c r="F371" s="55">
        <f t="shared" si="175"/>
        <v>0</v>
      </c>
      <c r="G371" s="55">
        <f>D371+E371+F371</f>
        <v>2419130</v>
      </c>
      <c r="H371" s="63">
        <f t="shared" ref="H371:J388" si="176">H298+H322+H347</f>
        <v>1633194</v>
      </c>
      <c r="I371" s="63">
        <f t="shared" si="176"/>
        <v>8567375</v>
      </c>
      <c r="J371" s="63">
        <f t="shared" si="176"/>
        <v>0</v>
      </c>
      <c r="K371" s="63">
        <f>H371+I371+J371</f>
        <v>10200569</v>
      </c>
      <c r="L371" s="63">
        <f t="shared" ref="L371:N388" si="177">L298+L322+L347</f>
        <v>461843</v>
      </c>
      <c r="M371" s="63">
        <f t="shared" si="177"/>
        <v>2422727</v>
      </c>
      <c r="N371" s="63">
        <f t="shared" si="177"/>
        <v>0</v>
      </c>
      <c r="O371" s="63">
        <f>L371+M371+N371</f>
        <v>2884570</v>
      </c>
      <c r="R371" s="62">
        <f>G371+K371+O371</f>
        <v>15504269</v>
      </c>
      <c r="S371" s="62">
        <f>R371-C371</f>
        <v>0</v>
      </c>
      <c r="V371" s="62">
        <f>D371+H371+L371</f>
        <v>2482360</v>
      </c>
      <c r="W371" s="62">
        <f t="shared" ref="W371:W389" si="178">E371+I371+M371</f>
        <v>13021909</v>
      </c>
      <c r="X371" s="62">
        <f t="shared" ref="X371:X389" si="179">F371+J371+N371</f>
        <v>0</v>
      </c>
      <c r="Y371" s="62">
        <f>V371+W371+X371</f>
        <v>15504269</v>
      </c>
      <c r="Z371" s="62">
        <f>Y371-C371</f>
        <v>0</v>
      </c>
      <c r="AC371" s="95"/>
      <c r="AD371" s="95"/>
      <c r="AE371" s="95"/>
      <c r="AF371" s="95"/>
      <c r="AG371" s="94"/>
      <c r="AH371" s="95"/>
    </row>
    <row r="372" spans="1:34" ht="40.5" hidden="1" customHeight="1" x14ac:dyDescent="0.25">
      <c r="A372" s="56" t="s">
        <v>24</v>
      </c>
      <c r="B372" s="54" t="s">
        <v>14</v>
      </c>
      <c r="C372" s="55">
        <f t="shared" si="175"/>
        <v>896395</v>
      </c>
      <c r="D372" s="55">
        <f t="shared" si="175"/>
        <v>102610</v>
      </c>
      <c r="E372" s="55">
        <f t="shared" si="175"/>
        <v>80580</v>
      </c>
      <c r="F372" s="55">
        <f t="shared" si="175"/>
        <v>2560</v>
      </c>
      <c r="G372" s="55">
        <f t="shared" ref="G372:G387" si="180">D372+E372+F372</f>
        <v>185750</v>
      </c>
      <c r="H372" s="63">
        <f t="shared" si="176"/>
        <v>301554</v>
      </c>
      <c r="I372" s="63">
        <f t="shared" si="176"/>
        <v>236810</v>
      </c>
      <c r="J372" s="63">
        <f t="shared" si="176"/>
        <v>7523</v>
      </c>
      <c r="K372" s="63">
        <f t="shared" ref="K372:K387" si="181">H372+I372+J372</f>
        <v>545887</v>
      </c>
      <c r="L372" s="63">
        <f t="shared" si="177"/>
        <v>91013</v>
      </c>
      <c r="M372" s="63">
        <f t="shared" si="177"/>
        <v>71474</v>
      </c>
      <c r="N372" s="63">
        <f t="shared" si="177"/>
        <v>2271</v>
      </c>
      <c r="O372" s="63">
        <f t="shared" ref="O372:O387" si="182">L372+M372+N372</f>
        <v>164758</v>
      </c>
      <c r="R372" s="62">
        <f t="shared" ref="R372:R389" si="183">G372+K372+O372</f>
        <v>896395</v>
      </c>
      <c r="S372" s="62">
        <f t="shared" ref="S372:S389" si="184">R372-C372</f>
        <v>0</v>
      </c>
      <c r="V372" s="62">
        <f t="shared" ref="V372:V389" si="185">D372+H372+L372</f>
        <v>495177</v>
      </c>
      <c r="W372" s="62">
        <f t="shared" si="178"/>
        <v>388864</v>
      </c>
      <c r="X372" s="62">
        <f t="shared" si="179"/>
        <v>12354</v>
      </c>
      <c r="Y372" s="62">
        <f t="shared" ref="Y372:Y389" si="186">V372+W372+X372</f>
        <v>896395</v>
      </c>
      <c r="Z372" s="62">
        <f t="shared" ref="Z372:Z389" si="187">Y372-C372</f>
        <v>0</v>
      </c>
    </row>
    <row r="373" spans="1:34" ht="34.5" customHeight="1" x14ac:dyDescent="0.25">
      <c r="A373" s="56" t="s">
        <v>24</v>
      </c>
      <c r="B373" s="54" t="s">
        <v>13</v>
      </c>
      <c r="C373" s="55">
        <f t="shared" si="175"/>
        <v>6371092</v>
      </c>
      <c r="D373" s="55">
        <f t="shared" si="175"/>
        <v>0</v>
      </c>
      <c r="E373" s="55">
        <f t="shared" si="175"/>
        <v>361115</v>
      </c>
      <c r="F373" s="55">
        <f t="shared" si="175"/>
        <v>0</v>
      </c>
      <c r="G373" s="55">
        <f t="shared" si="180"/>
        <v>361115</v>
      </c>
      <c r="H373" s="63">
        <f t="shared" si="176"/>
        <v>0</v>
      </c>
      <c r="I373" s="63">
        <f t="shared" si="176"/>
        <v>5352673</v>
      </c>
      <c r="J373" s="63">
        <f t="shared" si="176"/>
        <v>0</v>
      </c>
      <c r="K373" s="63">
        <f t="shared" si="181"/>
        <v>5352673</v>
      </c>
      <c r="L373" s="63">
        <f t="shared" si="177"/>
        <v>0</v>
      </c>
      <c r="M373" s="63">
        <f t="shared" si="177"/>
        <v>657304</v>
      </c>
      <c r="N373" s="63">
        <f t="shared" si="177"/>
        <v>0</v>
      </c>
      <c r="O373" s="63">
        <f t="shared" si="182"/>
        <v>657304</v>
      </c>
      <c r="R373" s="62">
        <f t="shared" si="183"/>
        <v>6371092</v>
      </c>
      <c r="S373" s="62">
        <f t="shared" si="184"/>
        <v>0</v>
      </c>
      <c r="V373" s="62">
        <f t="shared" si="185"/>
        <v>0</v>
      </c>
      <c r="W373" s="62">
        <f t="shared" si="178"/>
        <v>6371092</v>
      </c>
      <c r="X373" s="62">
        <f t="shared" si="179"/>
        <v>0</v>
      </c>
      <c r="Y373" s="62">
        <f t="shared" si="186"/>
        <v>6371092</v>
      </c>
      <c r="Z373" s="62">
        <f t="shared" si="187"/>
        <v>0</v>
      </c>
    </row>
    <row r="374" spans="1:34" ht="40.5" hidden="1" customHeight="1" x14ac:dyDescent="0.25">
      <c r="A374" s="56" t="s">
        <v>22</v>
      </c>
      <c r="B374" s="54" t="s">
        <v>12</v>
      </c>
      <c r="C374" s="55">
        <f t="shared" si="175"/>
        <v>496123</v>
      </c>
      <c r="D374" s="55">
        <f t="shared" si="175"/>
        <v>57069</v>
      </c>
      <c r="E374" s="55">
        <f t="shared" si="175"/>
        <v>0</v>
      </c>
      <c r="F374" s="55">
        <f t="shared" si="175"/>
        <v>0</v>
      </c>
      <c r="G374" s="55">
        <f t="shared" si="180"/>
        <v>57069</v>
      </c>
      <c r="H374" s="63">
        <f t="shared" si="176"/>
        <v>371159</v>
      </c>
      <c r="I374" s="63">
        <f t="shared" si="176"/>
        <v>0</v>
      </c>
      <c r="J374" s="63">
        <f t="shared" si="176"/>
        <v>0</v>
      </c>
      <c r="K374" s="63">
        <f t="shared" si="181"/>
        <v>371159</v>
      </c>
      <c r="L374" s="63">
        <f t="shared" si="177"/>
        <v>67895</v>
      </c>
      <c r="M374" s="63">
        <f t="shared" si="177"/>
        <v>0</v>
      </c>
      <c r="N374" s="63">
        <f t="shared" si="177"/>
        <v>0</v>
      </c>
      <c r="O374" s="63">
        <f t="shared" si="182"/>
        <v>67895</v>
      </c>
      <c r="R374" s="62">
        <f t="shared" si="183"/>
        <v>496123</v>
      </c>
      <c r="S374" s="62">
        <f t="shared" si="184"/>
        <v>0</v>
      </c>
      <c r="V374" s="62">
        <f t="shared" si="185"/>
        <v>496123</v>
      </c>
      <c r="W374" s="62">
        <f t="shared" si="178"/>
        <v>0</v>
      </c>
      <c r="X374" s="62">
        <f t="shared" si="179"/>
        <v>0</v>
      </c>
      <c r="Y374" s="62">
        <f t="shared" si="186"/>
        <v>496123</v>
      </c>
      <c r="Z374" s="62">
        <f t="shared" si="187"/>
        <v>0</v>
      </c>
    </row>
    <row r="375" spans="1:34" ht="39.75" customHeight="1" x14ac:dyDescent="0.25">
      <c r="A375" s="56" t="s">
        <v>23</v>
      </c>
      <c r="B375" s="54" t="s">
        <v>11</v>
      </c>
      <c r="C375" s="55">
        <f t="shared" si="175"/>
        <v>680458</v>
      </c>
      <c r="D375" s="55">
        <f t="shared" si="175"/>
        <v>26509</v>
      </c>
      <c r="E375" s="55">
        <f t="shared" si="175"/>
        <v>42190</v>
      </c>
      <c r="F375" s="55">
        <f t="shared" si="175"/>
        <v>18298</v>
      </c>
      <c r="G375" s="55">
        <f t="shared" si="180"/>
        <v>86997</v>
      </c>
      <c r="H375" s="63">
        <f t="shared" si="176"/>
        <v>140622</v>
      </c>
      <c r="I375" s="63">
        <f t="shared" si="176"/>
        <v>223806</v>
      </c>
      <c r="J375" s="63">
        <f t="shared" si="176"/>
        <v>97065</v>
      </c>
      <c r="K375" s="63">
        <f t="shared" si="181"/>
        <v>461493</v>
      </c>
      <c r="L375" s="63">
        <f t="shared" si="177"/>
        <v>40210</v>
      </c>
      <c r="M375" s="63">
        <f t="shared" si="177"/>
        <v>64000</v>
      </c>
      <c r="N375" s="63">
        <f t="shared" si="177"/>
        <v>27758</v>
      </c>
      <c r="O375" s="63">
        <f t="shared" si="182"/>
        <v>131968</v>
      </c>
      <c r="R375" s="62">
        <f t="shared" si="183"/>
        <v>680458</v>
      </c>
      <c r="S375" s="62">
        <f t="shared" si="184"/>
        <v>0</v>
      </c>
      <c r="V375" s="62">
        <f t="shared" si="185"/>
        <v>207341</v>
      </c>
      <c r="W375" s="62">
        <f t="shared" si="178"/>
        <v>329996</v>
      </c>
      <c r="X375" s="62">
        <f t="shared" si="179"/>
        <v>143121</v>
      </c>
      <c r="Y375" s="62">
        <f t="shared" si="186"/>
        <v>680458</v>
      </c>
      <c r="Z375" s="62">
        <f t="shared" si="187"/>
        <v>0</v>
      </c>
    </row>
    <row r="376" spans="1:34" ht="28.5" hidden="1" customHeight="1" x14ac:dyDescent="0.25">
      <c r="A376" s="56" t="s">
        <v>20</v>
      </c>
      <c r="B376" s="54" t="s">
        <v>34</v>
      </c>
      <c r="C376" s="55">
        <f t="shared" si="175"/>
        <v>881889</v>
      </c>
      <c r="D376" s="55">
        <f t="shared" si="175"/>
        <v>165072</v>
      </c>
      <c r="E376" s="55">
        <f t="shared" si="175"/>
        <v>0</v>
      </c>
      <c r="F376" s="55">
        <f t="shared" si="175"/>
        <v>0</v>
      </c>
      <c r="G376" s="55">
        <f t="shared" si="180"/>
        <v>165072</v>
      </c>
      <c r="H376" s="63">
        <f t="shared" si="176"/>
        <v>538808</v>
      </c>
      <c r="I376" s="63">
        <f t="shared" si="176"/>
        <v>0</v>
      </c>
      <c r="J376" s="63">
        <f t="shared" si="176"/>
        <v>0</v>
      </c>
      <c r="K376" s="63">
        <f t="shared" si="181"/>
        <v>538808</v>
      </c>
      <c r="L376" s="63">
        <f t="shared" si="177"/>
        <v>178009</v>
      </c>
      <c r="M376" s="63">
        <f t="shared" si="177"/>
        <v>0</v>
      </c>
      <c r="N376" s="63">
        <f t="shared" si="177"/>
        <v>0</v>
      </c>
      <c r="O376" s="63">
        <f t="shared" si="182"/>
        <v>178009</v>
      </c>
      <c r="R376" s="62">
        <f t="shared" si="183"/>
        <v>881889</v>
      </c>
      <c r="S376" s="62">
        <f t="shared" si="184"/>
        <v>0</v>
      </c>
      <c r="V376" s="62">
        <f t="shared" si="185"/>
        <v>881889</v>
      </c>
      <c r="W376" s="62">
        <f t="shared" si="178"/>
        <v>0</v>
      </c>
      <c r="X376" s="62">
        <f t="shared" si="179"/>
        <v>0</v>
      </c>
      <c r="Y376" s="62">
        <f t="shared" si="186"/>
        <v>881889</v>
      </c>
      <c r="Z376" s="62">
        <f t="shared" si="187"/>
        <v>0</v>
      </c>
    </row>
    <row r="377" spans="1:34" ht="34.5" customHeight="1" x14ac:dyDescent="0.25">
      <c r="A377" s="56" t="s">
        <v>22</v>
      </c>
      <c r="B377" s="54" t="s">
        <v>10</v>
      </c>
      <c r="C377" s="55">
        <f t="shared" si="175"/>
        <v>3433060</v>
      </c>
      <c r="D377" s="55">
        <f t="shared" si="175"/>
        <v>74566</v>
      </c>
      <c r="E377" s="55">
        <f t="shared" si="175"/>
        <v>97539</v>
      </c>
      <c r="F377" s="55">
        <f t="shared" si="175"/>
        <v>4593</v>
      </c>
      <c r="G377" s="55">
        <f t="shared" si="180"/>
        <v>176698</v>
      </c>
      <c r="H377" s="63">
        <f t="shared" si="176"/>
        <v>1159751</v>
      </c>
      <c r="I377" s="63">
        <f t="shared" si="176"/>
        <v>1517031</v>
      </c>
      <c r="J377" s="63">
        <f t="shared" si="176"/>
        <v>71452</v>
      </c>
      <c r="K377" s="63">
        <f t="shared" si="181"/>
        <v>2748234</v>
      </c>
      <c r="L377" s="63">
        <f t="shared" si="177"/>
        <v>214430</v>
      </c>
      <c r="M377" s="63">
        <f t="shared" si="177"/>
        <v>280488</v>
      </c>
      <c r="N377" s="63">
        <f t="shared" si="177"/>
        <v>13210</v>
      </c>
      <c r="O377" s="63">
        <f t="shared" si="182"/>
        <v>508128</v>
      </c>
      <c r="R377" s="62">
        <f t="shared" si="183"/>
        <v>3433060</v>
      </c>
      <c r="S377" s="62">
        <f t="shared" si="184"/>
        <v>0</v>
      </c>
      <c r="V377" s="62">
        <f t="shared" si="185"/>
        <v>1448747</v>
      </c>
      <c r="W377" s="62">
        <f t="shared" si="178"/>
        <v>1895058</v>
      </c>
      <c r="X377" s="62">
        <f t="shared" si="179"/>
        <v>89255</v>
      </c>
      <c r="Y377" s="62">
        <f t="shared" si="186"/>
        <v>3433060</v>
      </c>
      <c r="Z377" s="62">
        <f t="shared" si="187"/>
        <v>0</v>
      </c>
    </row>
    <row r="378" spans="1:34" ht="25.5" customHeight="1" x14ac:dyDescent="0.25">
      <c r="A378" s="56" t="s">
        <v>21</v>
      </c>
      <c r="B378" s="54" t="s">
        <v>9</v>
      </c>
      <c r="C378" s="55">
        <f t="shared" si="175"/>
        <v>4064380</v>
      </c>
      <c r="D378" s="55">
        <f t="shared" si="175"/>
        <v>375164</v>
      </c>
      <c r="E378" s="55">
        <f t="shared" si="175"/>
        <v>585701</v>
      </c>
      <c r="F378" s="55">
        <f t="shared" si="175"/>
        <v>18083</v>
      </c>
      <c r="G378" s="55">
        <f t="shared" si="180"/>
        <v>978948</v>
      </c>
      <c r="H378" s="63">
        <f t="shared" si="176"/>
        <v>1172258</v>
      </c>
      <c r="I378" s="63">
        <f t="shared" si="176"/>
        <v>1830097</v>
      </c>
      <c r="J378" s="63">
        <f t="shared" si="176"/>
        <v>56497</v>
      </c>
      <c r="K378" s="63">
        <f t="shared" si="181"/>
        <v>3058852</v>
      </c>
      <c r="L378" s="63">
        <f t="shared" si="177"/>
        <v>10187</v>
      </c>
      <c r="M378" s="63">
        <f t="shared" si="177"/>
        <v>15903</v>
      </c>
      <c r="N378" s="63">
        <f t="shared" si="177"/>
        <v>490</v>
      </c>
      <c r="O378" s="63">
        <f t="shared" si="182"/>
        <v>26580</v>
      </c>
      <c r="R378" s="62">
        <f t="shared" si="183"/>
        <v>4064380</v>
      </c>
      <c r="S378" s="62">
        <f t="shared" si="184"/>
        <v>0</v>
      </c>
      <c r="V378" s="62">
        <f t="shared" si="185"/>
        <v>1557609</v>
      </c>
      <c r="W378" s="62">
        <f t="shared" si="178"/>
        <v>2431701</v>
      </c>
      <c r="X378" s="62">
        <f t="shared" si="179"/>
        <v>75070</v>
      </c>
      <c r="Y378" s="62">
        <f t="shared" si="186"/>
        <v>4064380</v>
      </c>
      <c r="Z378" s="62">
        <f t="shared" si="187"/>
        <v>0</v>
      </c>
    </row>
    <row r="379" spans="1:34" ht="25.5" hidden="1" customHeight="1" x14ac:dyDescent="0.25">
      <c r="A379" s="56" t="s">
        <v>25</v>
      </c>
      <c r="B379" s="54" t="s">
        <v>8</v>
      </c>
      <c r="C379" s="55">
        <f t="shared" si="175"/>
        <v>4451028</v>
      </c>
      <c r="D379" s="55">
        <f t="shared" si="175"/>
        <v>30279</v>
      </c>
      <c r="E379" s="55">
        <f t="shared" si="175"/>
        <v>145537</v>
      </c>
      <c r="F379" s="55">
        <f t="shared" si="175"/>
        <v>0</v>
      </c>
      <c r="G379" s="55">
        <f t="shared" si="180"/>
        <v>175816</v>
      </c>
      <c r="H379" s="63">
        <f t="shared" si="176"/>
        <v>491418</v>
      </c>
      <c r="I379" s="63">
        <f t="shared" si="176"/>
        <v>2362047</v>
      </c>
      <c r="J379" s="63">
        <f t="shared" si="176"/>
        <v>0</v>
      </c>
      <c r="K379" s="63">
        <f t="shared" si="181"/>
        <v>2853465</v>
      </c>
      <c r="L379" s="63">
        <f t="shared" si="177"/>
        <v>244850</v>
      </c>
      <c r="M379" s="63">
        <f t="shared" si="177"/>
        <v>1176897</v>
      </c>
      <c r="N379" s="63">
        <f t="shared" si="177"/>
        <v>0</v>
      </c>
      <c r="O379" s="63">
        <f t="shared" si="182"/>
        <v>1421747</v>
      </c>
      <c r="R379" s="62">
        <f t="shared" si="183"/>
        <v>4451028</v>
      </c>
      <c r="S379" s="62">
        <f t="shared" si="184"/>
        <v>0</v>
      </c>
      <c r="V379" s="62">
        <f t="shared" si="185"/>
        <v>766547</v>
      </c>
      <c r="W379" s="62">
        <f t="shared" si="178"/>
        <v>3684481</v>
      </c>
      <c r="X379" s="62">
        <f t="shared" si="179"/>
        <v>0</v>
      </c>
      <c r="Y379" s="62">
        <f t="shared" si="186"/>
        <v>4451028</v>
      </c>
      <c r="Z379" s="62">
        <f t="shared" si="187"/>
        <v>0</v>
      </c>
    </row>
    <row r="380" spans="1:34" ht="25.5" hidden="1" customHeight="1" x14ac:dyDescent="0.25">
      <c r="A380" s="56" t="s">
        <v>26</v>
      </c>
      <c r="B380" s="54" t="s">
        <v>7</v>
      </c>
      <c r="C380" s="55">
        <f t="shared" si="175"/>
        <v>2769862</v>
      </c>
      <c r="D380" s="55">
        <f t="shared" si="175"/>
        <v>6035</v>
      </c>
      <c r="E380" s="55">
        <f t="shared" si="175"/>
        <v>44571</v>
      </c>
      <c r="F380" s="55">
        <f t="shared" si="175"/>
        <v>0</v>
      </c>
      <c r="G380" s="55">
        <f t="shared" si="180"/>
        <v>50606</v>
      </c>
      <c r="H380" s="63">
        <f t="shared" si="176"/>
        <v>294828</v>
      </c>
      <c r="I380" s="63">
        <f t="shared" si="176"/>
        <v>2177495</v>
      </c>
      <c r="J380" s="63">
        <f t="shared" si="176"/>
        <v>0</v>
      </c>
      <c r="K380" s="63">
        <f t="shared" si="181"/>
        <v>2472323</v>
      </c>
      <c r="L380" s="63">
        <f t="shared" si="177"/>
        <v>29448</v>
      </c>
      <c r="M380" s="63">
        <f t="shared" si="177"/>
        <v>217485</v>
      </c>
      <c r="N380" s="63">
        <f t="shared" si="177"/>
        <v>0</v>
      </c>
      <c r="O380" s="63">
        <f t="shared" si="182"/>
        <v>246933</v>
      </c>
      <c r="R380" s="62">
        <f t="shared" si="183"/>
        <v>2769862</v>
      </c>
      <c r="S380" s="62">
        <f t="shared" si="184"/>
        <v>0</v>
      </c>
      <c r="V380" s="62">
        <f t="shared" si="185"/>
        <v>330311</v>
      </c>
      <c r="W380" s="62">
        <f t="shared" si="178"/>
        <v>2439551</v>
      </c>
      <c r="X380" s="62">
        <f t="shared" si="179"/>
        <v>0</v>
      </c>
      <c r="Y380" s="62">
        <f t="shared" si="186"/>
        <v>2769862</v>
      </c>
      <c r="Z380" s="62">
        <f t="shared" si="187"/>
        <v>0</v>
      </c>
    </row>
    <row r="381" spans="1:34" ht="25.5" customHeight="1" x14ac:dyDescent="0.25">
      <c r="A381" s="56" t="s">
        <v>20</v>
      </c>
      <c r="B381" s="54" t="s">
        <v>6</v>
      </c>
      <c r="C381" s="55">
        <f t="shared" si="175"/>
        <v>3612843</v>
      </c>
      <c r="D381" s="55">
        <f t="shared" si="175"/>
        <v>13803</v>
      </c>
      <c r="E381" s="55">
        <f t="shared" si="175"/>
        <v>10968</v>
      </c>
      <c r="F381" s="55">
        <f t="shared" si="175"/>
        <v>408</v>
      </c>
      <c r="G381" s="55">
        <f t="shared" si="180"/>
        <v>25179</v>
      </c>
      <c r="H381" s="63">
        <f t="shared" si="176"/>
        <v>1963453</v>
      </c>
      <c r="I381" s="63">
        <f t="shared" si="176"/>
        <v>1560426</v>
      </c>
      <c r="J381" s="63">
        <f t="shared" si="176"/>
        <v>58364</v>
      </c>
      <c r="K381" s="63">
        <f t="shared" si="181"/>
        <v>3582243</v>
      </c>
      <c r="L381" s="63">
        <f t="shared" si="177"/>
        <v>2971</v>
      </c>
      <c r="M381" s="63">
        <f t="shared" si="177"/>
        <v>2361</v>
      </c>
      <c r="N381" s="63">
        <f t="shared" si="177"/>
        <v>89</v>
      </c>
      <c r="O381" s="63">
        <f t="shared" si="182"/>
        <v>5421</v>
      </c>
      <c r="R381" s="62">
        <f t="shared" si="183"/>
        <v>3612843</v>
      </c>
      <c r="S381" s="62">
        <f t="shared" si="184"/>
        <v>0</v>
      </c>
      <c r="V381" s="62">
        <f t="shared" si="185"/>
        <v>1980227</v>
      </c>
      <c r="W381" s="62">
        <f t="shared" si="178"/>
        <v>1573755</v>
      </c>
      <c r="X381" s="62">
        <f t="shared" si="179"/>
        <v>58861</v>
      </c>
      <c r="Y381" s="62">
        <f t="shared" si="186"/>
        <v>3612843</v>
      </c>
      <c r="Z381" s="62">
        <f t="shared" si="187"/>
        <v>0</v>
      </c>
    </row>
    <row r="382" spans="1:34" ht="25.5" customHeight="1" x14ac:dyDescent="0.25">
      <c r="A382" s="56" t="s">
        <v>19</v>
      </c>
      <c r="B382" s="54" t="s">
        <v>5</v>
      </c>
      <c r="C382" s="55">
        <f t="shared" si="175"/>
        <v>4925029</v>
      </c>
      <c r="D382" s="55">
        <f t="shared" si="175"/>
        <v>160054</v>
      </c>
      <c r="E382" s="55">
        <f t="shared" si="175"/>
        <v>491334</v>
      </c>
      <c r="F382" s="55">
        <f t="shared" si="175"/>
        <v>29987</v>
      </c>
      <c r="G382" s="55">
        <f t="shared" si="180"/>
        <v>681375</v>
      </c>
      <c r="H382" s="63">
        <f t="shared" si="176"/>
        <v>987126</v>
      </c>
      <c r="I382" s="63">
        <f t="shared" si="176"/>
        <v>3030250</v>
      </c>
      <c r="J382" s="63">
        <f t="shared" si="176"/>
        <v>184957</v>
      </c>
      <c r="K382" s="63">
        <f t="shared" si="181"/>
        <v>4202333</v>
      </c>
      <c r="L382" s="63">
        <f t="shared" si="177"/>
        <v>9705</v>
      </c>
      <c r="M382" s="63">
        <f t="shared" si="177"/>
        <v>29796</v>
      </c>
      <c r="N382" s="63">
        <f t="shared" si="177"/>
        <v>1820</v>
      </c>
      <c r="O382" s="63">
        <f t="shared" si="182"/>
        <v>41321</v>
      </c>
      <c r="R382" s="62">
        <f t="shared" si="183"/>
        <v>4925029</v>
      </c>
      <c r="S382" s="62">
        <f t="shared" si="184"/>
        <v>0</v>
      </c>
      <c r="V382" s="62">
        <f t="shared" si="185"/>
        <v>1156885</v>
      </c>
      <c r="W382" s="62">
        <f t="shared" si="178"/>
        <v>3551380</v>
      </c>
      <c r="X382" s="62">
        <f t="shared" si="179"/>
        <v>216764</v>
      </c>
      <c r="Y382" s="62">
        <f t="shared" si="186"/>
        <v>4925029</v>
      </c>
      <c r="Z382" s="62">
        <f t="shared" si="187"/>
        <v>0</v>
      </c>
    </row>
    <row r="383" spans="1:34" ht="25.5" customHeight="1" x14ac:dyDescent="0.25">
      <c r="A383" s="56" t="s">
        <v>18</v>
      </c>
      <c r="B383" s="54" t="s">
        <v>4</v>
      </c>
      <c r="C383" s="55">
        <f t="shared" si="175"/>
        <v>4518368</v>
      </c>
      <c r="D383" s="55">
        <f t="shared" si="175"/>
        <v>87618</v>
      </c>
      <c r="E383" s="55">
        <f t="shared" si="175"/>
        <v>147648</v>
      </c>
      <c r="F383" s="55">
        <f t="shared" si="175"/>
        <v>6106</v>
      </c>
      <c r="G383" s="55">
        <f t="shared" si="180"/>
        <v>241372</v>
      </c>
      <c r="H383" s="63">
        <f t="shared" si="176"/>
        <v>1501243</v>
      </c>
      <c r="I383" s="63">
        <f t="shared" si="176"/>
        <v>2529850</v>
      </c>
      <c r="J383" s="63">
        <f t="shared" si="176"/>
        <v>104612</v>
      </c>
      <c r="K383" s="63">
        <f t="shared" si="181"/>
        <v>4135705</v>
      </c>
      <c r="L383" s="63">
        <f t="shared" si="177"/>
        <v>51287</v>
      </c>
      <c r="M383" s="63">
        <f t="shared" si="177"/>
        <v>86429</v>
      </c>
      <c r="N383" s="63">
        <f t="shared" si="177"/>
        <v>3575</v>
      </c>
      <c r="O383" s="63">
        <f t="shared" si="182"/>
        <v>141291</v>
      </c>
      <c r="R383" s="62">
        <f t="shared" si="183"/>
        <v>4518368</v>
      </c>
      <c r="S383" s="62">
        <f t="shared" si="184"/>
        <v>0</v>
      </c>
      <c r="V383" s="62">
        <f t="shared" si="185"/>
        <v>1640148</v>
      </c>
      <c r="W383" s="62">
        <f t="shared" si="178"/>
        <v>2763927</v>
      </c>
      <c r="X383" s="62">
        <f t="shared" si="179"/>
        <v>114293</v>
      </c>
      <c r="Y383" s="62">
        <f t="shared" si="186"/>
        <v>4518368</v>
      </c>
      <c r="Z383" s="62">
        <f t="shared" si="187"/>
        <v>0</v>
      </c>
    </row>
    <row r="384" spans="1:34" ht="25.5" customHeight="1" x14ac:dyDescent="0.25">
      <c r="A384" s="56" t="s">
        <v>25</v>
      </c>
      <c r="B384" s="54" t="s">
        <v>3</v>
      </c>
      <c r="C384" s="55">
        <f t="shared" si="175"/>
        <v>3248498</v>
      </c>
      <c r="D384" s="55">
        <f t="shared" si="175"/>
        <v>155704</v>
      </c>
      <c r="E384" s="55">
        <f t="shared" si="175"/>
        <v>76652</v>
      </c>
      <c r="F384" s="55">
        <f t="shared" si="175"/>
        <v>7188</v>
      </c>
      <c r="G384" s="55">
        <f t="shared" si="180"/>
        <v>239544</v>
      </c>
      <c r="H384" s="63">
        <f t="shared" si="176"/>
        <v>1739679</v>
      </c>
      <c r="I384" s="63">
        <f t="shared" si="176"/>
        <v>856446</v>
      </c>
      <c r="J384" s="63">
        <f t="shared" si="176"/>
        <v>80312</v>
      </c>
      <c r="K384" s="63">
        <f t="shared" si="181"/>
        <v>2676437</v>
      </c>
      <c r="L384" s="63">
        <f t="shared" si="177"/>
        <v>216135</v>
      </c>
      <c r="M384" s="63">
        <f t="shared" si="177"/>
        <v>106404</v>
      </c>
      <c r="N384" s="63">
        <f t="shared" si="177"/>
        <v>9978</v>
      </c>
      <c r="O384" s="63">
        <f t="shared" si="182"/>
        <v>332517</v>
      </c>
      <c r="R384" s="62">
        <f t="shared" si="183"/>
        <v>3248498</v>
      </c>
      <c r="S384" s="62">
        <f t="shared" si="184"/>
        <v>0</v>
      </c>
      <c r="V384" s="62">
        <f t="shared" si="185"/>
        <v>2111518</v>
      </c>
      <c r="W384" s="62">
        <f t="shared" si="178"/>
        <v>1039502</v>
      </c>
      <c r="X384" s="62">
        <f t="shared" si="179"/>
        <v>97478</v>
      </c>
      <c r="Y384" s="62">
        <f t="shared" si="186"/>
        <v>3248498</v>
      </c>
      <c r="Z384" s="62">
        <f t="shared" si="187"/>
        <v>0</v>
      </c>
    </row>
    <row r="385" spans="1:34" ht="54" hidden="1" customHeight="1" x14ac:dyDescent="0.25">
      <c r="A385" s="56" t="s">
        <v>30</v>
      </c>
      <c r="B385" s="54" t="s">
        <v>2</v>
      </c>
      <c r="C385" s="55">
        <f t="shared" si="175"/>
        <v>289294</v>
      </c>
      <c r="D385" s="55">
        <f t="shared" si="175"/>
        <v>8193</v>
      </c>
      <c r="E385" s="55">
        <f t="shared" si="175"/>
        <v>0</v>
      </c>
      <c r="F385" s="55">
        <f t="shared" si="175"/>
        <v>0</v>
      </c>
      <c r="G385" s="55">
        <f t="shared" si="180"/>
        <v>8193</v>
      </c>
      <c r="H385" s="63">
        <f t="shared" si="176"/>
        <v>242188</v>
      </c>
      <c r="I385" s="63">
        <f t="shared" si="176"/>
        <v>0</v>
      </c>
      <c r="J385" s="63">
        <f t="shared" si="176"/>
        <v>0</v>
      </c>
      <c r="K385" s="63">
        <f t="shared" si="181"/>
        <v>242188</v>
      </c>
      <c r="L385" s="63">
        <f t="shared" si="177"/>
        <v>38913</v>
      </c>
      <c r="M385" s="63">
        <f t="shared" si="177"/>
        <v>0</v>
      </c>
      <c r="N385" s="63">
        <f t="shared" si="177"/>
        <v>0</v>
      </c>
      <c r="O385" s="63">
        <f t="shared" si="182"/>
        <v>38913</v>
      </c>
      <c r="R385" s="62">
        <f t="shared" si="183"/>
        <v>289294</v>
      </c>
      <c r="S385" s="62">
        <f t="shared" si="184"/>
        <v>0</v>
      </c>
      <c r="V385" s="62">
        <f t="shared" si="185"/>
        <v>289294</v>
      </c>
      <c r="W385" s="62">
        <f t="shared" si="178"/>
        <v>0</v>
      </c>
      <c r="X385" s="62">
        <f t="shared" si="179"/>
        <v>0</v>
      </c>
      <c r="Y385" s="62">
        <f t="shared" si="186"/>
        <v>289294</v>
      </c>
      <c r="Z385" s="62">
        <f t="shared" si="187"/>
        <v>0</v>
      </c>
    </row>
    <row r="386" spans="1:34" ht="39.75" hidden="1" customHeight="1" x14ac:dyDescent="0.25">
      <c r="A386" s="56" t="s">
        <v>31</v>
      </c>
      <c r="B386" s="54" t="s">
        <v>1</v>
      </c>
      <c r="C386" s="55">
        <f t="shared" si="175"/>
        <v>217800</v>
      </c>
      <c r="D386" s="55">
        <f t="shared" si="175"/>
        <v>16200</v>
      </c>
      <c r="E386" s="55">
        <f t="shared" si="175"/>
        <v>0</v>
      </c>
      <c r="F386" s="55">
        <f t="shared" si="175"/>
        <v>0</v>
      </c>
      <c r="G386" s="55">
        <f t="shared" si="180"/>
        <v>16200</v>
      </c>
      <c r="H386" s="63">
        <f t="shared" si="176"/>
        <v>192814</v>
      </c>
      <c r="I386" s="63">
        <f t="shared" si="176"/>
        <v>0</v>
      </c>
      <c r="J386" s="63">
        <f t="shared" si="176"/>
        <v>0</v>
      </c>
      <c r="K386" s="63">
        <f t="shared" si="181"/>
        <v>192814</v>
      </c>
      <c r="L386" s="63">
        <f t="shared" si="177"/>
        <v>8786</v>
      </c>
      <c r="M386" s="63">
        <f t="shared" si="177"/>
        <v>0</v>
      </c>
      <c r="N386" s="63">
        <f t="shared" si="177"/>
        <v>0</v>
      </c>
      <c r="O386" s="63">
        <f t="shared" si="182"/>
        <v>8786</v>
      </c>
      <c r="R386" s="62">
        <f t="shared" si="183"/>
        <v>217800</v>
      </c>
      <c r="S386" s="62">
        <f t="shared" si="184"/>
        <v>0</v>
      </c>
      <c r="V386" s="62">
        <f t="shared" si="185"/>
        <v>217800</v>
      </c>
      <c r="W386" s="62">
        <f t="shared" si="178"/>
        <v>0</v>
      </c>
      <c r="X386" s="62">
        <f t="shared" si="179"/>
        <v>0</v>
      </c>
      <c r="Y386" s="62">
        <f t="shared" si="186"/>
        <v>217800</v>
      </c>
      <c r="Z386" s="62">
        <f t="shared" si="187"/>
        <v>0</v>
      </c>
    </row>
    <row r="387" spans="1:34" ht="33" hidden="1" customHeight="1" x14ac:dyDescent="0.25">
      <c r="A387" s="56" t="s">
        <v>32</v>
      </c>
      <c r="B387" s="54" t="s">
        <v>73</v>
      </c>
      <c r="C387" s="55">
        <f t="shared" si="175"/>
        <v>123735</v>
      </c>
      <c r="D387" s="55">
        <f t="shared" si="175"/>
        <v>24336</v>
      </c>
      <c r="E387" s="55">
        <f t="shared" si="175"/>
        <v>0</v>
      </c>
      <c r="F387" s="55">
        <f t="shared" si="175"/>
        <v>0</v>
      </c>
      <c r="G387" s="55">
        <f t="shared" si="180"/>
        <v>24336</v>
      </c>
      <c r="H387" s="63">
        <f t="shared" si="176"/>
        <v>79668</v>
      </c>
      <c r="I387" s="63">
        <f t="shared" si="176"/>
        <v>0</v>
      </c>
      <c r="J387" s="63">
        <f t="shared" si="176"/>
        <v>0</v>
      </c>
      <c r="K387" s="63">
        <f t="shared" si="181"/>
        <v>79668</v>
      </c>
      <c r="L387" s="63">
        <f t="shared" si="177"/>
        <v>19731</v>
      </c>
      <c r="M387" s="63">
        <f t="shared" si="177"/>
        <v>0</v>
      </c>
      <c r="N387" s="63">
        <f t="shared" si="177"/>
        <v>0</v>
      </c>
      <c r="O387" s="63">
        <f t="shared" si="182"/>
        <v>19731</v>
      </c>
      <c r="R387" s="62">
        <f t="shared" si="183"/>
        <v>123735</v>
      </c>
      <c r="S387" s="62">
        <f t="shared" si="184"/>
        <v>0</v>
      </c>
      <c r="V387" s="62">
        <f t="shared" si="185"/>
        <v>123735</v>
      </c>
      <c r="W387" s="62">
        <f t="shared" si="178"/>
        <v>0</v>
      </c>
      <c r="X387" s="62">
        <f t="shared" si="179"/>
        <v>0</v>
      </c>
      <c r="Y387" s="62">
        <f t="shared" si="186"/>
        <v>123735</v>
      </c>
      <c r="Z387" s="62">
        <f t="shared" si="187"/>
        <v>0</v>
      </c>
    </row>
    <row r="388" spans="1:34" ht="33" hidden="1" customHeight="1" x14ac:dyDescent="0.25">
      <c r="A388" s="56" t="s">
        <v>90</v>
      </c>
      <c r="B388" s="70" t="s">
        <v>91</v>
      </c>
      <c r="C388" s="55">
        <f t="shared" si="175"/>
        <v>184986</v>
      </c>
      <c r="D388" s="55">
        <f t="shared" si="175"/>
        <v>0</v>
      </c>
      <c r="E388" s="55">
        <f t="shared" si="175"/>
        <v>31308</v>
      </c>
      <c r="F388" s="55">
        <f t="shared" si="175"/>
        <v>0</v>
      </c>
      <c r="G388" s="55">
        <f t="shared" ref="G388" si="188">D388+E388+F388</f>
        <v>31308</v>
      </c>
      <c r="H388" s="63">
        <f t="shared" si="176"/>
        <v>0</v>
      </c>
      <c r="I388" s="63">
        <f t="shared" si="176"/>
        <v>102918</v>
      </c>
      <c r="J388" s="63">
        <f t="shared" si="176"/>
        <v>0</v>
      </c>
      <c r="K388" s="63">
        <f t="shared" ref="K388" si="189">H388+I388+J388</f>
        <v>102918</v>
      </c>
      <c r="L388" s="63">
        <f t="shared" si="177"/>
        <v>0</v>
      </c>
      <c r="M388" s="63">
        <f t="shared" si="177"/>
        <v>50760</v>
      </c>
      <c r="N388" s="63">
        <f t="shared" si="177"/>
        <v>0</v>
      </c>
      <c r="O388" s="63">
        <f t="shared" ref="O388" si="190">L388+M388+N388</f>
        <v>50760</v>
      </c>
      <c r="R388" s="62">
        <f t="shared" si="183"/>
        <v>184986</v>
      </c>
      <c r="S388" s="62">
        <f>R388-C388</f>
        <v>0</v>
      </c>
      <c r="V388" s="62">
        <f t="shared" si="185"/>
        <v>0</v>
      </c>
      <c r="W388" s="62">
        <f t="shared" si="178"/>
        <v>184986</v>
      </c>
      <c r="X388" s="62">
        <f t="shared" si="179"/>
        <v>0</v>
      </c>
      <c r="Y388" s="62">
        <f t="shared" si="186"/>
        <v>184986</v>
      </c>
      <c r="Z388" s="62">
        <f t="shared" si="187"/>
        <v>0</v>
      </c>
    </row>
    <row r="389" spans="1:34" ht="25.5" customHeight="1" x14ac:dyDescent="0.25">
      <c r="A389" s="57"/>
      <c r="B389" s="57" t="s">
        <v>0</v>
      </c>
      <c r="C389" s="58">
        <f>C371+C373+C375+C377+C378+C381+C382+C383+C384</f>
        <v>46357997</v>
      </c>
      <c r="D389" s="58">
        <f t="shared" ref="D389:O389" si="191">D371+D373+D375+D377+D378+D381+D382+D383+D384</f>
        <v>1280741</v>
      </c>
      <c r="E389" s="58">
        <f t="shared" si="191"/>
        <v>3844954</v>
      </c>
      <c r="F389" s="58">
        <f>F371+F373+F375+F377+F378+F381+F382+F383+F384</f>
        <v>84663</v>
      </c>
      <c r="G389" s="58">
        <f t="shared" si="191"/>
        <v>5210358</v>
      </c>
      <c r="H389" s="58">
        <f t="shared" si="191"/>
        <v>10297326</v>
      </c>
      <c r="I389" s="58">
        <f>I371+I373+I375+I377+I378+I381+I382+I383+I384</f>
        <v>25467954</v>
      </c>
      <c r="J389" s="58">
        <f t="shared" si="191"/>
        <v>653259</v>
      </c>
      <c r="K389" s="58">
        <f t="shared" si="191"/>
        <v>36418539</v>
      </c>
      <c r="L389" s="58">
        <f t="shared" si="191"/>
        <v>1006768</v>
      </c>
      <c r="M389" s="58">
        <f>M371+M373+M375+M377+M378+M381+M382+M383+M384</f>
        <v>3665412</v>
      </c>
      <c r="N389" s="58">
        <f t="shared" si="191"/>
        <v>56920</v>
      </c>
      <c r="O389" s="58">
        <f t="shared" si="191"/>
        <v>4729100</v>
      </c>
      <c r="R389" s="62">
        <f t="shared" si="183"/>
        <v>46357997</v>
      </c>
      <c r="S389" s="62">
        <f t="shared" si="184"/>
        <v>0</v>
      </c>
      <c r="V389" s="62">
        <f t="shared" si="185"/>
        <v>12584835</v>
      </c>
      <c r="W389" s="62">
        <f t="shared" si="178"/>
        <v>32978320</v>
      </c>
      <c r="X389" s="62">
        <f t="shared" si="179"/>
        <v>794842</v>
      </c>
      <c r="Y389" s="62">
        <f t="shared" si="186"/>
        <v>46357997</v>
      </c>
      <c r="Z389" s="62">
        <f t="shared" si="187"/>
        <v>0</v>
      </c>
    </row>
    <row r="391" spans="1:34" x14ac:dyDescent="0.25">
      <c r="A391" s="158" t="s">
        <v>95</v>
      </c>
      <c r="B391" s="158"/>
      <c r="C391" s="158"/>
      <c r="D391" s="158"/>
      <c r="E391" s="158"/>
      <c r="F391" s="158"/>
      <c r="G391" s="158"/>
      <c r="H391" s="158"/>
      <c r="I391" s="158"/>
      <c r="J391" s="158"/>
      <c r="K391" s="158"/>
      <c r="L391" s="158"/>
      <c r="M391" s="158"/>
      <c r="N391" s="158"/>
      <c r="O391" s="158"/>
    </row>
    <row r="392" spans="1:34" s="4" customFormat="1" ht="28.5" customHeight="1" x14ac:dyDescent="0.25">
      <c r="A392" s="152" t="s">
        <v>17</v>
      </c>
      <c r="B392" s="152" t="s">
        <v>33</v>
      </c>
      <c r="C392" s="160" t="s">
        <v>99</v>
      </c>
      <c r="D392" s="152" t="s">
        <v>69</v>
      </c>
      <c r="E392" s="152"/>
      <c r="F392" s="152"/>
      <c r="G392" s="152"/>
      <c r="H392" s="152"/>
      <c r="I392" s="152"/>
      <c r="J392" s="152"/>
      <c r="K392" s="152"/>
      <c r="L392" s="152"/>
      <c r="M392" s="152"/>
      <c r="N392" s="152"/>
      <c r="O392" s="152"/>
      <c r="R392" s="61"/>
      <c r="S392" s="61"/>
      <c r="V392" s="61"/>
      <c r="W392" s="61"/>
      <c r="X392" s="61"/>
      <c r="Y392" s="61"/>
      <c r="Z392" s="61"/>
      <c r="AC392" s="95"/>
      <c r="AD392" s="95"/>
      <c r="AE392" s="95"/>
      <c r="AF392" s="95"/>
      <c r="AG392" s="93"/>
      <c r="AH392" s="95"/>
    </row>
    <row r="393" spans="1:34" s="4" customFormat="1" ht="41.25" customHeight="1" x14ac:dyDescent="0.25">
      <c r="A393" s="152"/>
      <c r="B393" s="152"/>
      <c r="C393" s="160"/>
      <c r="D393" s="154" t="s">
        <v>36</v>
      </c>
      <c r="E393" s="154"/>
      <c r="F393" s="154"/>
      <c r="G393" s="154"/>
      <c r="H393" s="155" t="s">
        <v>37</v>
      </c>
      <c r="I393" s="156"/>
      <c r="J393" s="156"/>
      <c r="K393" s="157"/>
      <c r="L393" s="155" t="s">
        <v>38</v>
      </c>
      <c r="M393" s="156"/>
      <c r="N393" s="156"/>
      <c r="O393" s="157"/>
      <c r="R393" s="61"/>
      <c r="S393" s="61"/>
      <c r="V393" s="61"/>
      <c r="W393" s="61"/>
      <c r="X393" s="61"/>
      <c r="Y393" s="61"/>
      <c r="Z393" s="61"/>
      <c r="AC393" s="95"/>
      <c r="AD393" s="95"/>
      <c r="AE393" s="95"/>
      <c r="AF393" s="95"/>
      <c r="AG393" s="93"/>
      <c r="AH393" s="95"/>
    </row>
    <row r="394" spans="1:34" s="4" customFormat="1" ht="59.25" customHeight="1" x14ac:dyDescent="0.25">
      <c r="A394" s="152"/>
      <c r="B394" s="152"/>
      <c r="C394" s="160"/>
      <c r="D394" s="82" t="s">
        <v>66</v>
      </c>
      <c r="E394" s="82" t="s">
        <v>67</v>
      </c>
      <c r="F394" s="82" t="s">
        <v>68</v>
      </c>
      <c r="G394" s="82" t="s">
        <v>70</v>
      </c>
      <c r="H394" s="65" t="s">
        <v>66</v>
      </c>
      <c r="I394" s="65" t="s">
        <v>67</v>
      </c>
      <c r="J394" s="65" t="s">
        <v>68</v>
      </c>
      <c r="K394" s="65" t="s">
        <v>71</v>
      </c>
      <c r="L394" s="65" t="s">
        <v>66</v>
      </c>
      <c r="M394" s="65" t="s">
        <v>67</v>
      </c>
      <c r="N394" s="65" t="s">
        <v>68</v>
      </c>
      <c r="O394" s="65" t="s">
        <v>72</v>
      </c>
      <c r="R394" s="61"/>
      <c r="S394" s="61"/>
      <c r="V394" s="61" t="s">
        <v>44</v>
      </c>
      <c r="W394" s="61" t="s">
        <v>96</v>
      </c>
      <c r="X394" s="61" t="s">
        <v>97</v>
      </c>
      <c r="Y394" s="61"/>
      <c r="Z394" s="61"/>
      <c r="AC394" s="95"/>
      <c r="AD394" s="95"/>
      <c r="AE394" s="95"/>
      <c r="AF394" s="95"/>
      <c r="AG394" s="93"/>
      <c r="AH394" s="95"/>
    </row>
    <row r="395" spans="1:34" s="3" customFormat="1" ht="14.25" customHeight="1" x14ac:dyDescent="0.25">
      <c r="A395" s="53">
        <v>1</v>
      </c>
      <c r="B395" s="53">
        <v>2</v>
      </c>
      <c r="C395" s="53">
        <v>3</v>
      </c>
      <c r="D395" s="53">
        <v>4</v>
      </c>
      <c r="E395" s="53">
        <v>5</v>
      </c>
      <c r="F395" s="53">
        <v>6</v>
      </c>
      <c r="G395" s="53">
        <v>7</v>
      </c>
      <c r="H395" s="66">
        <v>8</v>
      </c>
      <c r="I395" s="66">
        <v>9</v>
      </c>
      <c r="J395" s="66">
        <v>10</v>
      </c>
      <c r="K395" s="66">
        <v>11</v>
      </c>
      <c r="L395" s="66">
        <v>12</v>
      </c>
      <c r="M395" s="66">
        <v>13</v>
      </c>
      <c r="N395" s="66">
        <v>14</v>
      </c>
      <c r="O395" s="66">
        <v>15</v>
      </c>
      <c r="R395" s="61"/>
      <c r="S395" s="61"/>
      <c r="V395" s="61"/>
      <c r="W395" s="61"/>
      <c r="X395" s="61"/>
      <c r="Y395" s="61"/>
      <c r="Z395" s="61"/>
      <c r="AC395" s="95"/>
      <c r="AD395" s="95"/>
      <c r="AE395" s="95"/>
      <c r="AF395" s="95"/>
      <c r="AG395" s="94"/>
      <c r="AH395" s="95"/>
    </row>
    <row r="396" spans="1:34" s="3" customFormat="1" ht="25.5" customHeight="1" x14ac:dyDescent="0.25">
      <c r="A396" s="53" t="s">
        <v>16</v>
      </c>
      <c r="B396" s="54" t="s">
        <v>15</v>
      </c>
      <c r="C396" s="63">
        <f t="shared" ref="C396:F409" si="192">C200+C224+C249+C298+C322+C347</f>
        <v>25391846</v>
      </c>
      <c r="D396" s="63">
        <f t="shared" si="192"/>
        <v>625556</v>
      </c>
      <c r="E396" s="63">
        <f t="shared" si="192"/>
        <v>3336331</v>
      </c>
      <c r="F396" s="63">
        <f t="shared" si="192"/>
        <v>0</v>
      </c>
      <c r="G396" s="55">
        <f>D396+E396+F396</f>
        <v>3961887</v>
      </c>
      <c r="H396" s="63">
        <f t="shared" ref="H396:J409" si="193">H200+H224+H249+H298+H322+H347</f>
        <v>2637735</v>
      </c>
      <c r="I396" s="63">
        <f t="shared" si="193"/>
        <v>14068070</v>
      </c>
      <c r="J396" s="63">
        <f t="shared" si="193"/>
        <v>0</v>
      </c>
      <c r="K396" s="63">
        <f>H396+I396+J396</f>
        <v>16705805</v>
      </c>
      <c r="L396" s="63">
        <f t="shared" ref="L396:N409" si="194">L200+L224+L249+L298+L322+L347</f>
        <v>745913</v>
      </c>
      <c r="M396" s="63">
        <f t="shared" si="194"/>
        <v>3978241</v>
      </c>
      <c r="N396" s="63">
        <f t="shared" si="194"/>
        <v>0</v>
      </c>
      <c r="O396" s="63">
        <f>L396+M396+N396</f>
        <v>4724154</v>
      </c>
      <c r="R396" s="62">
        <f>G396+K396+O396</f>
        <v>25391846</v>
      </c>
      <c r="S396" s="62">
        <f>R396-C396</f>
        <v>0</v>
      </c>
      <c r="V396" s="102">
        <f t="shared" ref="V396:X414" si="195">V200+V224+V249+V298+V322+V347</f>
        <v>4009204</v>
      </c>
      <c r="W396" s="102">
        <f t="shared" si="195"/>
        <v>21382642</v>
      </c>
      <c r="X396" s="102">
        <f t="shared" si="195"/>
        <v>0</v>
      </c>
      <c r="Y396" s="102">
        <f>V396+W396+X396</f>
        <v>25391846</v>
      </c>
      <c r="Z396" s="102">
        <f t="shared" ref="Z396:Z414" si="196">Y396-C396</f>
        <v>0</v>
      </c>
      <c r="AC396" s="98">
        <f>AC200+AC224+AC249+AC298+AC322+AC347</f>
        <v>4009204</v>
      </c>
      <c r="AD396" s="98">
        <f t="shared" ref="AD396:AF396" si="197">AD200+AD224+AD249+AD298+AD322+AD347</f>
        <v>21382642</v>
      </c>
      <c r="AE396" s="98">
        <f t="shared" si="197"/>
        <v>0</v>
      </c>
      <c r="AF396" s="98">
        <f t="shared" si="197"/>
        <v>25391846</v>
      </c>
      <c r="AG396" s="96">
        <f>AF396-Y396</f>
        <v>0</v>
      </c>
      <c r="AH396" s="95"/>
    </row>
    <row r="397" spans="1:34" ht="40.5" hidden="1" customHeight="1" x14ac:dyDescent="0.25">
      <c r="A397" s="56" t="s">
        <v>24</v>
      </c>
      <c r="B397" s="54" t="s">
        <v>14</v>
      </c>
      <c r="C397" s="63">
        <f t="shared" si="192"/>
        <v>1711896</v>
      </c>
      <c r="D397" s="63">
        <f t="shared" si="192"/>
        <v>188496</v>
      </c>
      <c r="E397" s="63">
        <f t="shared" si="192"/>
        <v>161114</v>
      </c>
      <c r="F397" s="63">
        <f t="shared" si="192"/>
        <v>5129</v>
      </c>
      <c r="G397" s="55">
        <f t="shared" ref="G397:G411" si="198">D397+E397+F397</f>
        <v>354739</v>
      </c>
      <c r="H397" s="63">
        <f t="shared" si="193"/>
        <v>553955</v>
      </c>
      <c r="I397" s="63">
        <f t="shared" si="193"/>
        <v>473484</v>
      </c>
      <c r="J397" s="63">
        <f t="shared" si="193"/>
        <v>15071</v>
      </c>
      <c r="K397" s="63">
        <f t="shared" ref="K397:K413" si="199">H397+I397+J397</f>
        <v>1042510</v>
      </c>
      <c r="L397" s="63">
        <f t="shared" si="194"/>
        <v>167192</v>
      </c>
      <c r="M397" s="63">
        <f t="shared" si="194"/>
        <v>142906</v>
      </c>
      <c r="N397" s="63">
        <f t="shared" si="194"/>
        <v>4549</v>
      </c>
      <c r="O397" s="63">
        <f t="shared" ref="O397:O413" si="200">L397+M397+N397</f>
        <v>314647</v>
      </c>
      <c r="R397" s="62">
        <f t="shared" ref="R397:R414" si="201">G397+K397+O397</f>
        <v>1711896</v>
      </c>
      <c r="S397" s="62">
        <f t="shared" ref="S397:S412" si="202">R397-C397</f>
        <v>0</v>
      </c>
      <c r="V397" s="62">
        <f t="shared" si="195"/>
        <v>909643</v>
      </c>
      <c r="W397" s="62">
        <f t="shared" si="195"/>
        <v>777504</v>
      </c>
      <c r="X397" s="62">
        <f t="shared" si="195"/>
        <v>24749</v>
      </c>
      <c r="Y397" s="62">
        <f t="shared" ref="Y397:Y414" si="203">V397+W397+X397</f>
        <v>1711896</v>
      </c>
      <c r="Z397" s="62">
        <f t="shared" si="196"/>
        <v>0</v>
      </c>
      <c r="AC397" s="98">
        <f t="shared" ref="AC397:AF397" si="204">AC201+AC225+AC250+AC299+AC323+AC348</f>
        <v>771190</v>
      </c>
      <c r="AD397" s="98">
        <f t="shared" si="204"/>
        <v>0</v>
      </c>
      <c r="AE397" s="98">
        <f t="shared" si="204"/>
        <v>0</v>
      </c>
      <c r="AF397" s="98">
        <f t="shared" si="204"/>
        <v>771190</v>
      </c>
      <c r="AG397" s="96">
        <f t="shared" ref="AG397:AG409" si="205">AF397-Y397</f>
        <v>-940706</v>
      </c>
    </row>
    <row r="398" spans="1:34" ht="34.5" customHeight="1" x14ac:dyDescent="0.25">
      <c r="A398" s="56" t="s">
        <v>24</v>
      </c>
      <c r="B398" s="54" t="s">
        <v>13</v>
      </c>
      <c r="C398" s="63">
        <f t="shared" si="192"/>
        <v>8598799</v>
      </c>
      <c r="D398" s="63">
        <f t="shared" si="192"/>
        <v>0</v>
      </c>
      <c r="E398" s="63">
        <f t="shared" si="192"/>
        <v>487381</v>
      </c>
      <c r="F398" s="63">
        <f t="shared" si="192"/>
        <v>0</v>
      </c>
      <c r="G398" s="55">
        <f t="shared" si="198"/>
        <v>487381</v>
      </c>
      <c r="H398" s="63">
        <f t="shared" si="193"/>
        <v>0</v>
      </c>
      <c r="I398" s="63">
        <f t="shared" si="193"/>
        <v>7224282</v>
      </c>
      <c r="J398" s="63">
        <f t="shared" si="193"/>
        <v>0</v>
      </c>
      <c r="K398" s="63">
        <f t="shared" si="199"/>
        <v>7224282</v>
      </c>
      <c r="L398" s="63">
        <f t="shared" si="194"/>
        <v>0</v>
      </c>
      <c r="M398" s="63">
        <f t="shared" si="194"/>
        <v>887136</v>
      </c>
      <c r="N398" s="63">
        <f t="shared" si="194"/>
        <v>0</v>
      </c>
      <c r="O398" s="63">
        <f t="shared" si="200"/>
        <v>887136</v>
      </c>
      <c r="R398" s="62">
        <f t="shared" si="201"/>
        <v>8598799</v>
      </c>
      <c r="S398" s="62">
        <f t="shared" si="202"/>
        <v>0</v>
      </c>
      <c r="V398" s="102">
        <f t="shared" si="195"/>
        <v>0</v>
      </c>
      <c r="W398" s="102">
        <f t="shared" si="195"/>
        <v>8598799</v>
      </c>
      <c r="X398" s="102">
        <f t="shared" si="195"/>
        <v>0</v>
      </c>
      <c r="Y398" s="102">
        <f t="shared" si="203"/>
        <v>8598799</v>
      </c>
      <c r="Z398" s="102">
        <f t="shared" si="196"/>
        <v>0</v>
      </c>
      <c r="AC398" s="98">
        <f t="shared" ref="AC398:AF398" si="206">AC202+AC226+AC251+AC300+AC324+AC349</f>
        <v>0</v>
      </c>
      <c r="AD398" s="98">
        <f t="shared" si="206"/>
        <v>8598799</v>
      </c>
      <c r="AE398" s="98">
        <f t="shared" si="206"/>
        <v>0</v>
      </c>
      <c r="AF398" s="98">
        <f t="shared" si="206"/>
        <v>8598799</v>
      </c>
      <c r="AG398" s="96">
        <f t="shared" si="205"/>
        <v>0</v>
      </c>
    </row>
    <row r="399" spans="1:34" ht="40.5" hidden="1" customHeight="1" x14ac:dyDescent="0.25">
      <c r="A399" s="56" t="s">
        <v>22</v>
      </c>
      <c r="B399" s="54" t="s">
        <v>12</v>
      </c>
      <c r="C399" s="63">
        <f t="shared" si="192"/>
        <v>1004875</v>
      </c>
      <c r="D399" s="63">
        <f t="shared" si="192"/>
        <v>115591</v>
      </c>
      <c r="E399" s="63">
        <f t="shared" si="192"/>
        <v>0</v>
      </c>
      <c r="F399" s="63">
        <f t="shared" si="192"/>
        <v>0</v>
      </c>
      <c r="G399" s="55">
        <f t="shared" si="198"/>
        <v>115591</v>
      </c>
      <c r="H399" s="63">
        <f t="shared" si="193"/>
        <v>751766</v>
      </c>
      <c r="I399" s="63">
        <f t="shared" si="193"/>
        <v>0</v>
      </c>
      <c r="J399" s="63">
        <f t="shared" si="193"/>
        <v>0</v>
      </c>
      <c r="K399" s="63">
        <f t="shared" si="199"/>
        <v>751766</v>
      </c>
      <c r="L399" s="63">
        <f t="shared" si="194"/>
        <v>137518</v>
      </c>
      <c r="M399" s="63">
        <f t="shared" si="194"/>
        <v>0</v>
      </c>
      <c r="N399" s="63">
        <f t="shared" si="194"/>
        <v>0</v>
      </c>
      <c r="O399" s="63">
        <f t="shared" si="200"/>
        <v>137518</v>
      </c>
      <c r="R399" s="62">
        <f t="shared" si="201"/>
        <v>1004875</v>
      </c>
      <c r="S399" s="62">
        <f t="shared" si="202"/>
        <v>0</v>
      </c>
      <c r="V399" s="62">
        <f t="shared" si="195"/>
        <v>1004875</v>
      </c>
      <c r="W399" s="62">
        <f t="shared" si="195"/>
        <v>0</v>
      </c>
      <c r="X399" s="62">
        <f t="shared" si="195"/>
        <v>0</v>
      </c>
      <c r="Y399" s="62">
        <f t="shared" si="203"/>
        <v>1004875</v>
      </c>
      <c r="Z399" s="62">
        <f t="shared" si="196"/>
        <v>0</v>
      </c>
      <c r="AC399" s="98">
        <f t="shared" ref="AC399:AF399" si="207">AC203+AC227+AC252+AC301+AC325+AC350</f>
        <v>836047</v>
      </c>
      <c r="AD399" s="98">
        <f t="shared" si="207"/>
        <v>0</v>
      </c>
      <c r="AE399" s="98">
        <f t="shared" si="207"/>
        <v>0</v>
      </c>
      <c r="AF399" s="98">
        <f t="shared" si="207"/>
        <v>836047</v>
      </c>
      <c r="AG399" s="96">
        <f t="shared" si="205"/>
        <v>-168828</v>
      </c>
    </row>
    <row r="400" spans="1:34" ht="39.75" customHeight="1" x14ac:dyDescent="0.25">
      <c r="A400" s="56" t="s">
        <v>23</v>
      </c>
      <c r="B400" s="54" t="s">
        <v>11</v>
      </c>
      <c r="C400" s="63">
        <f t="shared" si="192"/>
        <v>1101287</v>
      </c>
      <c r="D400" s="63">
        <f t="shared" si="192"/>
        <v>43075</v>
      </c>
      <c r="E400" s="63">
        <f t="shared" si="192"/>
        <v>68199</v>
      </c>
      <c r="F400" s="63">
        <f t="shared" si="192"/>
        <v>29523</v>
      </c>
      <c r="G400" s="55">
        <f t="shared" si="198"/>
        <v>140797</v>
      </c>
      <c r="H400" s="63">
        <f t="shared" si="193"/>
        <v>228506</v>
      </c>
      <c r="I400" s="63">
        <f t="shared" si="193"/>
        <v>361783</v>
      </c>
      <c r="J400" s="63">
        <f t="shared" si="193"/>
        <v>156615</v>
      </c>
      <c r="K400" s="63">
        <f t="shared" si="199"/>
        <v>746904</v>
      </c>
      <c r="L400" s="63">
        <f t="shared" si="194"/>
        <v>65342</v>
      </c>
      <c r="M400" s="63">
        <f t="shared" si="194"/>
        <v>103456</v>
      </c>
      <c r="N400" s="63">
        <f t="shared" si="194"/>
        <v>44788</v>
      </c>
      <c r="O400" s="63">
        <f t="shared" si="200"/>
        <v>213586</v>
      </c>
      <c r="R400" s="62">
        <f t="shared" si="201"/>
        <v>1101287</v>
      </c>
      <c r="S400" s="62">
        <f t="shared" si="202"/>
        <v>0</v>
      </c>
      <c r="V400" s="102">
        <f t="shared" si="195"/>
        <v>336923</v>
      </c>
      <c r="W400" s="102">
        <f t="shared" si="195"/>
        <v>533438</v>
      </c>
      <c r="X400" s="102">
        <f t="shared" si="195"/>
        <v>230926</v>
      </c>
      <c r="Y400" s="102">
        <f t="shared" si="203"/>
        <v>1101287</v>
      </c>
      <c r="Z400" s="102">
        <f t="shared" si="196"/>
        <v>0</v>
      </c>
      <c r="AC400" s="98">
        <f t="shared" ref="AC400:AF400" si="208">AC204+AC228+AC253+AC302+AC326+AC351</f>
        <v>336924</v>
      </c>
      <c r="AD400" s="98">
        <f t="shared" si="208"/>
        <v>533438</v>
      </c>
      <c r="AE400" s="98">
        <f t="shared" si="208"/>
        <v>230925</v>
      </c>
      <c r="AF400" s="98">
        <f t="shared" si="208"/>
        <v>1101287</v>
      </c>
      <c r="AG400" s="96">
        <f t="shared" si="205"/>
        <v>0</v>
      </c>
    </row>
    <row r="401" spans="1:33" customFormat="1" ht="28.5" hidden="1" customHeight="1" x14ac:dyDescent="0.25">
      <c r="A401" s="56" t="s">
        <v>20</v>
      </c>
      <c r="B401" s="54" t="s">
        <v>34</v>
      </c>
      <c r="C401" s="63">
        <f t="shared" si="192"/>
        <v>1483843</v>
      </c>
      <c r="D401" s="63">
        <f t="shared" si="192"/>
        <v>277746</v>
      </c>
      <c r="E401" s="63">
        <f t="shared" si="192"/>
        <v>0</v>
      </c>
      <c r="F401" s="63">
        <f t="shared" si="192"/>
        <v>0</v>
      </c>
      <c r="G401" s="55">
        <f t="shared" si="198"/>
        <v>277746</v>
      </c>
      <c r="H401" s="63">
        <f t="shared" si="193"/>
        <v>906584</v>
      </c>
      <c r="I401" s="63">
        <f t="shared" si="193"/>
        <v>0</v>
      </c>
      <c r="J401" s="63">
        <f t="shared" si="193"/>
        <v>0</v>
      </c>
      <c r="K401" s="63">
        <f t="shared" si="199"/>
        <v>906584</v>
      </c>
      <c r="L401" s="63">
        <f t="shared" si="194"/>
        <v>299513</v>
      </c>
      <c r="M401" s="63">
        <f t="shared" si="194"/>
        <v>0</v>
      </c>
      <c r="N401" s="63">
        <f t="shared" si="194"/>
        <v>0</v>
      </c>
      <c r="O401" s="63">
        <f t="shared" si="200"/>
        <v>299513</v>
      </c>
      <c r="R401" s="62">
        <f t="shared" si="201"/>
        <v>1483843</v>
      </c>
      <c r="S401" s="62">
        <f t="shared" si="202"/>
        <v>0</v>
      </c>
      <c r="V401" s="62">
        <f t="shared" si="195"/>
        <v>1483843</v>
      </c>
      <c r="W401" s="62">
        <f t="shared" si="195"/>
        <v>0</v>
      </c>
      <c r="X401" s="62">
        <f t="shared" si="195"/>
        <v>0</v>
      </c>
      <c r="Y401" s="62">
        <f t="shared" si="203"/>
        <v>1483843</v>
      </c>
      <c r="Z401" s="62">
        <f t="shared" si="196"/>
        <v>0</v>
      </c>
      <c r="AC401" s="98">
        <f t="shared" ref="AC401:AF401" si="209">AC205+AC229+AC254+AC303+AC327+AC352</f>
        <v>1307644</v>
      </c>
      <c r="AD401" s="98">
        <f t="shared" si="209"/>
        <v>0</v>
      </c>
      <c r="AE401" s="98">
        <f t="shared" si="209"/>
        <v>0</v>
      </c>
      <c r="AF401" s="98">
        <f t="shared" si="209"/>
        <v>1307644</v>
      </c>
      <c r="AG401" s="96">
        <f t="shared" si="205"/>
        <v>-176199</v>
      </c>
    </row>
    <row r="402" spans="1:33" customFormat="1" ht="34.5" customHeight="1" x14ac:dyDescent="0.25">
      <c r="A402" s="56" t="s">
        <v>22</v>
      </c>
      <c r="B402" s="54" t="s">
        <v>10</v>
      </c>
      <c r="C402" s="63">
        <f t="shared" si="192"/>
        <v>5766258</v>
      </c>
      <c r="D402" s="63">
        <f t="shared" si="192"/>
        <v>125246</v>
      </c>
      <c r="E402" s="63">
        <f t="shared" si="192"/>
        <v>163826</v>
      </c>
      <c r="F402" s="63">
        <f t="shared" si="192"/>
        <v>7715</v>
      </c>
      <c r="G402" s="55">
        <f t="shared" si="198"/>
        <v>296787</v>
      </c>
      <c r="H402" s="63">
        <f t="shared" si="193"/>
        <v>1947988</v>
      </c>
      <c r="I402" s="63">
        <f t="shared" si="193"/>
        <v>2548004</v>
      </c>
      <c r="J402" s="63">
        <f t="shared" si="193"/>
        <v>120014</v>
      </c>
      <c r="K402" s="63">
        <f t="shared" si="199"/>
        <v>4616006</v>
      </c>
      <c r="L402" s="63">
        <f t="shared" si="194"/>
        <v>360170</v>
      </c>
      <c r="M402" s="63">
        <f t="shared" si="194"/>
        <v>471107</v>
      </c>
      <c r="N402" s="63">
        <f t="shared" si="194"/>
        <v>22188</v>
      </c>
      <c r="O402" s="63">
        <f t="shared" si="200"/>
        <v>853465</v>
      </c>
      <c r="R402" s="62">
        <f t="shared" si="201"/>
        <v>5766258</v>
      </c>
      <c r="S402" s="62">
        <f t="shared" si="202"/>
        <v>0</v>
      </c>
      <c r="V402" s="102">
        <f t="shared" si="195"/>
        <v>2433404</v>
      </c>
      <c r="W402" s="102">
        <f t="shared" si="195"/>
        <v>3182937</v>
      </c>
      <c r="X402" s="102">
        <f t="shared" si="195"/>
        <v>149917</v>
      </c>
      <c r="Y402" s="102">
        <f t="shared" si="203"/>
        <v>5766258</v>
      </c>
      <c r="Z402" s="102">
        <f t="shared" si="196"/>
        <v>0</v>
      </c>
      <c r="AC402" s="98">
        <f t="shared" ref="AC402:AF402" si="210">AC206+AC230+AC255+AC304+AC328+AC353</f>
        <v>2433404</v>
      </c>
      <c r="AD402" s="98">
        <f t="shared" si="210"/>
        <v>3182936</v>
      </c>
      <c r="AE402" s="98">
        <f t="shared" si="210"/>
        <v>149918</v>
      </c>
      <c r="AF402" s="98">
        <f t="shared" si="210"/>
        <v>5766258</v>
      </c>
      <c r="AG402" s="96">
        <f t="shared" si="205"/>
        <v>0</v>
      </c>
    </row>
    <row r="403" spans="1:33" customFormat="1" ht="25.5" customHeight="1" x14ac:dyDescent="0.25">
      <c r="A403" s="56" t="s">
        <v>21</v>
      </c>
      <c r="B403" s="54" t="s">
        <v>9</v>
      </c>
      <c r="C403" s="63">
        <f t="shared" si="192"/>
        <v>5756133</v>
      </c>
      <c r="D403" s="63">
        <f t="shared" si="192"/>
        <v>476641</v>
      </c>
      <c r="E403" s="63">
        <f t="shared" si="192"/>
        <v>891701</v>
      </c>
      <c r="F403" s="63">
        <f t="shared" si="192"/>
        <v>18083</v>
      </c>
      <c r="G403" s="55">
        <f t="shared" si="198"/>
        <v>1386425</v>
      </c>
      <c r="H403" s="63">
        <f t="shared" si="193"/>
        <v>1489335</v>
      </c>
      <c r="I403" s="63">
        <f t="shared" si="193"/>
        <v>2786232</v>
      </c>
      <c r="J403" s="63">
        <f t="shared" si="193"/>
        <v>56497</v>
      </c>
      <c r="K403" s="63">
        <f t="shared" si="199"/>
        <v>4332064</v>
      </c>
      <c r="L403" s="63">
        <f t="shared" si="194"/>
        <v>12942</v>
      </c>
      <c r="M403" s="63">
        <f t="shared" si="194"/>
        <v>24212</v>
      </c>
      <c r="N403" s="63">
        <f t="shared" si="194"/>
        <v>490</v>
      </c>
      <c r="O403" s="63">
        <f t="shared" si="200"/>
        <v>37644</v>
      </c>
      <c r="R403" s="62">
        <f t="shared" si="201"/>
        <v>5756133</v>
      </c>
      <c r="S403" s="62">
        <f t="shared" si="202"/>
        <v>0</v>
      </c>
      <c r="V403" s="102">
        <f t="shared" si="195"/>
        <v>1978918</v>
      </c>
      <c r="W403" s="102">
        <f t="shared" si="195"/>
        <v>3702145</v>
      </c>
      <c r="X403" s="102">
        <f t="shared" si="195"/>
        <v>75070</v>
      </c>
      <c r="Y403" s="102">
        <f t="shared" si="203"/>
        <v>5756133</v>
      </c>
      <c r="Z403" s="102">
        <f t="shared" si="196"/>
        <v>0</v>
      </c>
      <c r="AC403" s="98">
        <f t="shared" ref="AC403:AF403" si="211">AC207+AC231+AC256+AC305+AC329+AC354</f>
        <v>1978919</v>
      </c>
      <c r="AD403" s="98">
        <f t="shared" si="211"/>
        <v>3702145</v>
      </c>
      <c r="AE403" s="98">
        <f t="shared" si="211"/>
        <v>75069</v>
      </c>
      <c r="AF403" s="98">
        <f t="shared" si="211"/>
        <v>5756133</v>
      </c>
      <c r="AG403" s="96">
        <f t="shared" si="205"/>
        <v>0</v>
      </c>
    </row>
    <row r="404" spans="1:33" customFormat="1" ht="25.5" hidden="1" customHeight="1" x14ac:dyDescent="0.25">
      <c r="A404" s="56" t="s">
        <v>25</v>
      </c>
      <c r="B404" s="54" t="s">
        <v>8</v>
      </c>
      <c r="C404" s="63">
        <f t="shared" si="192"/>
        <v>6783289</v>
      </c>
      <c r="D404" s="63">
        <f t="shared" si="192"/>
        <v>46153</v>
      </c>
      <c r="E404" s="63">
        <f t="shared" si="192"/>
        <v>221787</v>
      </c>
      <c r="F404" s="63">
        <f t="shared" si="192"/>
        <v>0</v>
      </c>
      <c r="G404" s="55">
        <f t="shared" si="198"/>
        <v>267940</v>
      </c>
      <c r="H404" s="63">
        <f t="shared" si="193"/>
        <v>749039</v>
      </c>
      <c r="I404" s="63">
        <f t="shared" si="193"/>
        <v>3599592</v>
      </c>
      <c r="J404" s="63">
        <f t="shared" si="193"/>
        <v>0</v>
      </c>
      <c r="K404" s="63">
        <f t="shared" si="199"/>
        <v>4348631</v>
      </c>
      <c r="L404" s="63">
        <f t="shared" si="194"/>
        <v>373211</v>
      </c>
      <c r="M404" s="63">
        <f t="shared" si="194"/>
        <v>1793507</v>
      </c>
      <c r="N404" s="63">
        <f t="shared" si="194"/>
        <v>0</v>
      </c>
      <c r="O404" s="63">
        <f t="shared" si="200"/>
        <v>2166718</v>
      </c>
      <c r="R404" s="62">
        <f t="shared" si="201"/>
        <v>6783289</v>
      </c>
      <c r="S404" s="62">
        <f t="shared" si="202"/>
        <v>0</v>
      </c>
      <c r="V404" s="62">
        <f t="shared" si="195"/>
        <v>1168403</v>
      </c>
      <c r="W404" s="62">
        <f t="shared" si="195"/>
        <v>5614886</v>
      </c>
      <c r="X404" s="62">
        <f t="shared" si="195"/>
        <v>0</v>
      </c>
      <c r="Y404" s="62">
        <f t="shared" si="203"/>
        <v>6783289</v>
      </c>
      <c r="Z404" s="62">
        <f t="shared" si="196"/>
        <v>0</v>
      </c>
      <c r="AC404" s="98">
        <f t="shared" ref="AC404:AF404" si="212">AC208+AC232+AC257+AC306+AC330+AC355</f>
        <v>2878978</v>
      </c>
      <c r="AD404" s="98">
        <f t="shared" si="212"/>
        <v>0</v>
      </c>
      <c r="AE404" s="98">
        <f t="shared" si="212"/>
        <v>0</v>
      </c>
      <c r="AF404" s="98">
        <f t="shared" si="212"/>
        <v>2878978</v>
      </c>
      <c r="AG404" s="96">
        <f t="shared" si="205"/>
        <v>-3904311</v>
      </c>
    </row>
    <row r="405" spans="1:33" customFormat="1" ht="25.5" hidden="1" customHeight="1" x14ac:dyDescent="0.25">
      <c r="A405" s="56" t="s">
        <v>26</v>
      </c>
      <c r="B405" s="54" t="s">
        <v>7</v>
      </c>
      <c r="C405" s="63">
        <f t="shared" si="192"/>
        <v>4285733</v>
      </c>
      <c r="D405" s="63">
        <f t="shared" si="192"/>
        <v>9940</v>
      </c>
      <c r="E405" s="63">
        <f t="shared" si="192"/>
        <v>68361</v>
      </c>
      <c r="F405" s="63">
        <f t="shared" si="192"/>
        <v>0</v>
      </c>
      <c r="G405" s="55">
        <f t="shared" si="198"/>
        <v>78301</v>
      </c>
      <c r="H405" s="63">
        <f t="shared" si="193"/>
        <v>485582</v>
      </c>
      <c r="I405" s="63">
        <f t="shared" si="193"/>
        <v>3339777</v>
      </c>
      <c r="J405" s="63">
        <f t="shared" si="193"/>
        <v>0</v>
      </c>
      <c r="K405" s="63">
        <f t="shared" si="199"/>
        <v>3825359</v>
      </c>
      <c r="L405" s="63">
        <f t="shared" si="194"/>
        <v>48500</v>
      </c>
      <c r="M405" s="63">
        <f t="shared" si="194"/>
        <v>333573</v>
      </c>
      <c r="N405" s="63">
        <f t="shared" si="194"/>
        <v>0</v>
      </c>
      <c r="O405" s="63">
        <f t="shared" si="200"/>
        <v>382073</v>
      </c>
      <c r="R405" s="62">
        <f t="shared" si="201"/>
        <v>4285733</v>
      </c>
      <c r="S405" s="62">
        <f t="shared" si="202"/>
        <v>0</v>
      </c>
      <c r="V405" s="62">
        <f t="shared" si="195"/>
        <v>544022</v>
      </c>
      <c r="W405" s="62">
        <f t="shared" si="195"/>
        <v>3741711</v>
      </c>
      <c r="X405" s="62">
        <f t="shared" si="195"/>
        <v>0</v>
      </c>
      <c r="Y405" s="62">
        <f t="shared" si="203"/>
        <v>4285733</v>
      </c>
      <c r="Z405" s="62">
        <f t="shared" si="196"/>
        <v>0</v>
      </c>
      <c r="AC405" s="98">
        <f t="shared" ref="AC405:AF405" si="213">AC209+AC233+AC258+AC307+AC331+AC356</f>
        <v>1567896</v>
      </c>
      <c r="AD405" s="98">
        <f t="shared" si="213"/>
        <v>0</v>
      </c>
      <c r="AE405" s="98">
        <f t="shared" si="213"/>
        <v>0</v>
      </c>
      <c r="AF405" s="98">
        <f t="shared" si="213"/>
        <v>1567896</v>
      </c>
      <c r="AG405" s="96">
        <f t="shared" si="205"/>
        <v>-2717837</v>
      </c>
    </row>
    <row r="406" spans="1:33" customFormat="1" ht="25.5" customHeight="1" x14ac:dyDescent="0.25">
      <c r="A406" s="56" t="s">
        <v>20</v>
      </c>
      <c r="B406" s="54" t="s">
        <v>6</v>
      </c>
      <c r="C406" s="63">
        <f t="shared" si="192"/>
        <v>6682453</v>
      </c>
      <c r="D406" s="63">
        <f t="shared" si="192"/>
        <v>25268</v>
      </c>
      <c r="E406" s="63">
        <f t="shared" si="192"/>
        <v>20670</v>
      </c>
      <c r="F406" s="63">
        <f t="shared" si="192"/>
        <v>638</v>
      </c>
      <c r="G406" s="55">
        <f t="shared" si="198"/>
        <v>46576</v>
      </c>
      <c r="H406" s="63">
        <f t="shared" si="193"/>
        <v>3594512</v>
      </c>
      <c r="I406" s="63">
        <f t="shared" si="193"/>
        <v>2940548</v>
      </c>
      <c r="J406" s="63">
        <f t="shared" si="193"/>
        <v>90792</v>
      </c>
      <c r="K406" s="63">
        <f t="shared" si="199"/>
        <v>6625852</v>
      </c>
      <c r="L406" s="63">
        <f t="shared" si="194"/>
        <v>5438</v>
      </c>
      <c r="M406" s="63">
        <f t="shared" si="194"/>
        <v>4450</v>
      </c>
      <c r="N406" s="63">
        <f t="shared" si="194"/>
        <v>137</v>
      </c>
      <c r="O406" s="63">
        <f t="shared" si="200"/>
        <v>10025</v>
      </c>
      <c r="R406" s="62">
        <f t="shared" si="201"/>
        <v>6682453</v>
      </c>
      <c r="S406" s="62">
        <f t="shared" si="202"/>
        <v>0</v>
      </c>
      <c r="V406" s="102">
        <f t="shared" si="195"/>
        <v>3625218</v>
      </c>
      <c r="W406" s="102">
        <f t="shared" si="195"/>
        <v>2965668</v>
      </c>
      <c r="X406" s="102">
        <f t="shared" si="195"/>
        <v>91567</v>
      </c>
      <c r="Y406" s="102">
        <f t="shared" si="203"/>
        <v>6682453</v>
      </c>
      <c r="Z406" s="102">
        <f t="shared" si="196"/>
        <v>0</v>
      </c>
      <c r="AC406" s="98">
        <f t="shared" ref="AC406:AF406" si="214">AC210+AC234+AC259+AC308+AC332+AC357</f>
        <v>3625218</v>
      </c>
      <c r="AD406" s="98">
        <f t="shared" si="214"/>
        <v>2965666</v>
      </c>
      <c r="AE406" s="98">
        <f t="shared" si="214"/>
        <v>91569</v>
      </c>
      <c r="AF406" s="98">
        <f t="shared" si="214"/>
        <v>6682453</v>
      </c>
      <c r="AG406" s="96">
        <f t="shared" si="205"/>
        <v>0</v>
      </c>
    </row>
    <row r="407" spans="1:33" customFormat="1" ht="25.5" customHeight="1" x14ac:dyDescent="0.25">
      <c r="A407" s="56" t="s">
        <v>19</v>
      </c>
      <c r="B407" s="54" t="s">
        <v>5</v>
      </c>
      <c r="C407" s="63">
        <f t="shared" si="192"/>
        <v>7913290</v>
      </c>
      <c r="D407" s="63">
        <f t="shared" si="192"/>
        <v>277397</v>
      </c>
      <c r="E407" s="63">
        <f t="shared" si="192"/>
        <v>773109</v>
      </c>
      <c r="F407" s="63">
        <f t="shared" si="192"/>
        <v>44295</v>
      </c>
      <c r="G407" s="55">
        <f t="shared" si="198"/>
        <v>1094801</v>
      </c>
      <c r="H407" s="63">
        <f t="shared" si="193"/>
        <v>1710821</v>
      </c>
      <c r="I407" s="63">
        <f t="shared" si="193"/>
        <v>4768067</v>
      </c>
      <c r="J407" s="63">
        <f t="shared" si="193"/>
        <v>273206</v>
      </c>
      <c r="K407" s="63">
        <f t="shared" si="199"/>
        <v>6752094</v>
      </c>
      <c r="L407" s="63">
        <f t="shared" si="194"/>
        <v>16821</v>
      </c>
      <c r="M407" s="63">
        <f t="shared" si="194"/>
        <v>46883</v>
      </c>
      <c r="N407" s="63">
        <f t="shared" si="194"/>
        <v>2691</v>
      </c>
      <c r="O407" s="63">
        <f t="shared" si="200"/>
        <v>66395</v>
      </c>
      <c r="R407" s="62">
        <f t="shared" si="201"/>
        <v>7913290</v>
      </c>
      <c r="S407" s="62">
        <f t="shared" si="202"/>
        <v>0</v>
      </c>
      <c r="V407" s="102">
        <f t="shared" si="195"/>
        <v>2005039</v>
      </c>
      <c r="W407" s="102">
        <f t="shared" si="195"/>
        <v>5588059</v>
      </c>
      <c r="X407" s="102">
        <f t="shared" si="195"/>
        <v>320192</v>
      </c>
      <c r="Y407" s="102">
        <f t="shared" si="203"/>
        <v>7913290</v>
      </c>
      <c r="Z407" s="102">
        <f t="shared" si="196"/>
        <v>0</v>
      </c>
      <c r="AC407" s="98">
        <f t="shared" ref="AC407:AF407" si="215">AC211+AC235+AC260+AC309+AC333+AC358</f>
        <v>2005039</v>
      </c>
      <c r="AD407" s="98">
        <f t="shared" si="215"/>
        <v>5588060</v>
      </c>
      <c r="AE407" s="98">
        <f t="shared" si="215"/>
        <v>320191</v>
      </c>
      <c r="AF407" s="98">
        <f t="shared" si="215"/>
        <v>7913290</v>
      </c>
      <c r="AG407" s="96">
        <f>AF407-Y407</f>
        <v>0</v>
      </c>
    </row>
    <row r="408" spans="1:33" customFormat="1" ht="25.5" customHeight="1" x14ac:dyDescent="0.25">
      <c r="A408" s="56" t="s">
        <v>18</v>
      </c>
      <c r="B408" s="54" t="s">
        <v>4</v>
      </c>
      <c r="C408" s="63">
        <f t="shared" si="192"/>
        <v>6784214</v>
      </c>
      <c r="D408" s="63">
        <f t="shared" si="192"/>
        <v>131556</v>
      </c>
      <c r="E408" s="63">
        <f t="shared" si="192"/>
        <v>221691</v>
      </c>
      <c r="F408" s="63">
        <f t="shared" si="192"/>
        <v>9168</v>
      </c>
      <c r="G408" s="55">
        <f t="shared" si="198"/>
        <v>362415</v>
      </c>
      <c r="H408" s="63">
        <f t="shared" si="193"/>
        <v>2254080</v>
      </c>
      <c r="I408" s="63">
        <f t="shared" si="193"/>
        <v>3798506</v>
      </c>
      <c r="J408" s="63">
        <f t="shared" si="193"/>
        <v>157072</v>
      </c>
      <c r="K408" s="63">
        <f t="shared" si="199"/>
        <v>6209658</v>
      </c>
      <c r="L408" s="63">
        <f t="shared" si="194"/>
        <v>77005</v>
      </c>
      <c r="M408" s="63">
        <f t="shared" si="194"/>
        <v>129770</v>
      </c>
      <c r="N408" s="63">
        <f t="shared" si="194"/>
        <v>5366</v>
      </c>
      <c r="O408" s="63">
        <f t="shared" si="200"/>
        <v>212141</v>
      </c>
      <c r="R408" s="62">
        <f t="shared" si="201"/>
        <v>6784214</v>
      </c>
      <c r="S408" s="62">
        <f t="shared" si="202"/>
        <v>0</v>
      </c>
      <c r="V408" s="102">
        <f t="shared" si="195"/>
        <v>2462641</v>
      </c>
      <c r="W408" s="102">
        <f t="shared" si="195"/>
        <v>4149967</v>
      </c>
      <c r="X408" s="102">
        <f t="shared" si="195"/>
        <v>171606</v>
      </c>
      <c r="Y408" s="102">
        <f t="shared" si="203"/>
        <v>6784214</v>
      </c>
      <c r="Z408" s="102">
        <f t="shared" si="196"/>
        <v>0</v>
      </c>
      <c r="AC408" s="98">
        <f t="shared" ref="AC408:AF408" si="216">AC212+AC236+AC261+AC310+AC334+AC359</f>
        <v>2462642</v>
      </c>
      <c r="AD408" s="98">
        <f t="shared" si="216"/>
        <v>4149966</v>
      </c>
      <c r="AE408" s="98">
        <f t="shared" si="216"/>
        <v>171606</v>
      </c>
      <c r="AF408" s="98">
        <f t="shared" si="216"/>
        <v>6784214</v>
      </c>
      <c r="AG408" s="96">
        <f t="shared" si="205"/>
        <v>0</v>
      </c>
    </row>
    <row r="409" spans="1:33" customFormat="1" ht="25.5" customHeight="1" x14ac:dyDescent="0.25">
      <c r="A409" s="56" t="s">
        <v>25</v>
      </c>
      <c r="B409" s="54" t="s">
        <v>3</v>
      </c>
      <c r="C409" s="63">
        <f t="shared" si="192"/>
        <v>5661058</v>
      </c>
      <c r="D409" s="63">
        <f t="shared" si="192"/>
        <v>271339</v>
      </c>
      <c r="E409" s="63">
        <f t="shared" si="192"/>
        <v>133580</v>
      </c>
      <c r="F409" s="63">
        <f t="shared" si="192"/>
        <v>12528</v>
      </c>
      <c r="G409" s="55">
        <f t="shared" si="198"/>
        <v>417447</v>
      </c>
      <c r="H409" s="63">
        <f t="shared" si="193"/>
        <v>3031687</v>
      </c>
      <c r="I409" s="63">
        <f t="shared" si="193"/>
        <v>1492504</v>
      </c>
      <c r="J409" s="63">
        <f t="shared" si="193"/>
        <v>139955</v>
      </c>
      <c r="K409" s="63">
        <f t="shared" si="199"/>
        <v>4664146</v>
      </c>
      <c r="L409" s="63">
        <f t="shared" si="194"/>
        <v>376650</v>
      </c>
      <c r="M409" s="63">
        <f t="shared" si="194"/>
        <v>185427</v>
      </c>
      <c r="N409" s="63">
        <f t="shared" si="194"/>
        <v>17388</v>
      </c>
      <c r="O409" s="63">
        <f t="shared" si="200"/>
        <v>579465</v>
      </c>
      <c r="R409" s="62">
        <f t="shared" si="201"/>
        <v>5661058</v>
      </c>
      <c r="S409" s="62">
        <f t="shared" si="202"/>
        <v>0</v>
      </c>
      <c r="V409" s="102">
        <f t="shared" si="195"/>
        <v>3679676</v>
      </c>
      <c r="W409" s="102">
        <f t="shared" si="195"/>
        <v>1811511</v>
      </c>
      <c r="X409" s="102">
        <f t="shared" si="195"/>
        <v>169871</v>
      </c>
      <c r="Y409" s="102">
        <f t="shared" si="203"/>
        <v>5661058</v>
      </c>
      <c r="Z409" s="102">
        <f t="shared" si="196"/>
        <v>0</v>
      </c>
      <c r="AC409" s="98">
        <f t="shared" ref="AC409:AF409" si="217">AC213+AC237+AC262+AC311+AC335+AC360</f>
        <v>3679676</v>
      </c>
      <c r="AD409" s="98">
        <f t="shared" si="217"/>
        <v>1811511</v>
      </c>
      <c r="AE409" s="98">
        <f t="shared" si="217"/>
        <v>169871</v>
      </c>
      <c r="AF409" s="98">
        <f t="shared" si="217"/>
        <v>5661058</v>
      </c>
      <c r="AG409" s="96">
        <f t="shared" si="205"/>
        <v>0</v>
      </c>
    </row>
    <row r="410" spans="1:33" customFormat="1" ht="54" hidden="1" customHeight="1" x14ac:dyDescent="0.25">
      <c r="A410" s="56" t="s">
        <v>30</v>
      </c>
      <c r="B410" s="54" t="s">
        <v>2</v>
      </c>
      <c r="C410" s="63">
        <f t="shared" ref="C410:F413" si="218">C128+C224+C321+C444</f>
        <v>4846350</v>
      </c>
      <c r="D410" s="55">
        <f t="shared" si="218"/>
        <v>155149</v>
      </c>
      <c r="E410" s="55">
        <f t="shared" si="218"/>
        <v>601034</v>
      </c>
      <c r="F410" s="55">
        <f t="shared" si="218"/>
        <v>6</v>
      </c>
      <c r="G410" s="55">
        <f t="shared" si="198"/>
        <v>756189</v>
      </c>
      <c r="H410" s="63">
        <f t="shared" ref="H410:J413" si="219">H128+H224+H321+H444</f>
        <v>654200</v>
      </c>
      <c r="I410" s="63">
        <f t="shared" si="219"/>
        <v>2534327</v>
      </c>
      <c r="J410" s="63">
        <f t="shared" si="219"/>
        <v>10</v>
      </c>
      <c r="K410" s="63">
        <f t="shared" si="199"/>
        <v>3188537</v>
      </c>
      <c r="L410" s="63">
        <f t="shared" ref="L410:N413" si="220">L128+L224+L321+L444</f>
        <v>185008</v>
      </c>
      <c r="M410" s="63">
        <f t="shared" si="220"/>
        <v>716680</v>
      </c>
      <c r="N410" s="63">
        <f t="shared" si="220"/>
        <v>14</v>
      </c>
      <c r="O410" s="63">
        <f t="shared" si="200"/>
        <v>901702</v>
      </c>
      <c r="R410" s="62">
        <f t="shared" si="201"/>
        <v>4846428</v>
      </c>
      <c r="S410" s="62">
        <f t="shared" si="202"/>
        <v>78</v>
      </c>
      <c r="V410" s="62">
        <f t="shared" si="195"/>
        <v>408520</v>
      </c>
      <c r="W410" s="62">
        <f t="shared" si="195"/>
        <v>0</v>
      </c>
      <c r="X410" s="62">
        <f t="shared" si="195"/>
        <v>0</v>
      </c>
      <c r="Y410" s="62">
        <f t="shared" si="203"/>
        <v>408520</v>
      </c>
      <c r="Z410" s="62">
        <f t="shared" si="196"/>
        <v>-4437830</v>
      </c>
      <c r="AC410" s="98">
        <f t="shared" ref="AC410:AF410" si="221">AC214+AC238+AC263+AC312+AC336+AC361</f>
        <v>1722702</v>
      </c>
      <c r="AD410" s="98">
        <f t="shared" si="221"/>
        <v>0</v>
      </c>
      <c r="AE410" s="98">
        <f t="shared" si="221"/>
        <v>0</v>
      </c>
      <c r="AF410" s="98">
        <f t="shared" si="221"/>
        <v>1722702</v>
      </c>
      <c r="AG410" s="92"/>
    </row>
    <row r="411" spans="1:33" customFormat="1" ht="39.75" hidden="1" customHeight="1" x14ac:dyDescent="0.25">
      <c r="A411" s="56" t="s">
        <v>31</v>
      </c>
      <c r="B411" s="54" t="s">
        <v>1</v>
      </c>
      <c r="C411" s="63">
        <f t="shared" si="218"/>
        <v>4986677</v>
      </c>
      <c r="D411" s="55">
        <f t="shared" si="218"/>
        <v>189769</v>
      </c>
      <c r="E411" s="55">
        <f t="shared" si="218"/>
        <v>614514</v>
      </c>
      <c r="F411" s="55">
        <f t="shared" si="218"/>
        <v>1712</v>
      </c>
      <c r="G411" s="55">
        <f t="shared" si="198"/>
        <v>805995</v>
      </c>
      <c r="H411" s="63">
        <f t="shared" si="219"/>
        <v>726536</v>
      </c>
      <c r="I411" s="63">
        <f t="shared" si="219"/>
        <v>2522568</v>
      </c>
      <c r="J411" s="63">
        <f t="shared" si="219"/>
        <v>5033</v>
      </c>
      <c r="K411" s="63">
        <f t="shared" si="199"/>
        <v>3254137</v>
      </c>
      <c r="L411" s="63">
        <f t="shared" si="220"/>
        <v>208678</v>
      </c>
      <c r="M411" s="63">
        <f t="shared" si="220"/>
        <v>716348</v>
      </c>
      <c r="N411" s="63">
        <f t="shared" si="220"/>
        <v>1519</v>
      </c>
      <c r="O411" s="63">
        <f t="shared" si="200"/>
        <v>926545</v>
      </c>
      <c r="R411" s="62">
        <f t="shared" si="201"/>
        <v>4986677</v>
      </c>
      <c r="S411" s="62">
        <f t="shared" si="202"/>
        <v>0</v>
      </c>
      <c r="V411" s="62">
        <f t="shared" si="195"/>
        <v>303929</v>
      </c>
      <c r="W411" s="62">
        <f t="shared" si="195"/>
        <v>0</v>
      </c>
      <c r="X411" s="62">
        <f t="shared" si="195"/>
        <v>0</v>
      </c>
      <c r="Y411" s="62">
        <f t="shared" si="203"/>
        <v>303929</v>
      </c>
      <c r="Z411" s="62">
        <f t="shared" si="196"/>
        <v>-4682748</v>
      </c>
      <c r="AC411" s="98">
        <f t="shared" ref="AC411:AF411" si="222">AC215+AC239+AC264+AC313+AC337+AC362</f>
        <v>100043</v>
      </c>
      <c r="AD411" s="98">
        <f t="shared" si="222"/>
        <v>0</v>
      </c>
      <c r="AE411" s="98">
        <f t="shared" si="222"/>
        <v>0</v>
      </c>
      <c r="AF411" s="98">
        <f t="shared" si="222"/>
        <v>100043</v>
      </c>
      <c r="AG411" s="92"/>
    </row>
    <row r="412" spans="1:33" customFormat="1" ht="33" hidden="1" customHeight="1" x14ac:dyDescent="0.25">
      <c r="A412" s="56" t="s">
        <v>32</v>
      </c>
      <c r="B412" s="54" t="s">
        <v>73</v>
      </c>
      <c r="C412" s="63">
        <f t="shared" si="218"/>
        <v>1575463</v>
      </c>
      <c r="D412" s="55">
        <f t="shared" si="218"/>
        <v>35106</v>
      </c>
      <c r="E412" s="55">
        <f t="shared" si="218"/>
        <v>98977</v>
      </c>
      <c r="F412" s="55">
        <f t="shared" si="218"/>
        <v>854</v>
      </c>
      <c r="G412" s="55">
        <f>D412+E412+F412</f>
        <v>134937</v>
      </c>
      <c r="H412" s="63">
        <f t="shared" si="219"/>
        <v>103171</v>
      </c>
      <c r="I412" s="63">
        <f t="shared" si="219"/>
        <v>1147859</v>
      </c>
      <c r="J412" s="63">
        <f t="shared" si="219"/>
        <v>2511</v>
      </c>
      <c r="K412" s="63">
        <f t="shared" si="199"/>
        <v>1253541</v>
      </c>
      <c r="L412" s="63">
        <f t="shared" si="220"/>
        <v>31138</v>
      </c>
      <c r="M412" s="63">
        <f t="shared" si="220"/>
        <v>155089</v>
      </c>
      <c r="N412" s="63">
        <f t="shared" si="220"/>
        <v>758</v>
      </c>
      <c r="O412" s="63">
        <f t="shared" si="200"/>
        <v>186985</v>
      </c>
      <c r="R412" s="62">
        <f t="shared" si="201"/>
        <v>1575463</v>
      </c>
      <c r="S412" s="62">
        <f t="shared" si="202"/>
        <v>0</v>
      </c>
      <c r="V412" s="62">
        <f t="shared" si="195"/>
        <v>270503</v>
      </c>
      <c r="W412" s="62">
        <f t="shared" si="195"/>
        <v>0</v>
      </c>
      <c r="X412" s="62">
        <f t="shared" si="195"/>
        <v>0</v>
      </c>
      <c r="Y412" s="62">
        <f t="shared" si="203"/>
        <v>270503</v>
      </c>
      <c r="Z412" s="62">
        <f t="shared" si="196"/>
        <v>-1304960</v>
      </c>
      <c r="AC412" s="98">
        <f t="shared" ref="AC412:AF412" si="223">AC216+AC240+AC265+AC314+AC338+AC363</f>
        <v>41245</v>
      </c>
      <c r="AD412" s="98">
        <f t="shared" si="223"/>
        <v>0</v>
      </c>
      <c r="AE412" s="98">
        <f t="shared" si="223"/>
        <v>0</v>
      </c>
      <c r="AF412" s="98">
        <f t="shared" si="223"/>
        <v>41245</v>
      </c>
      <c r="AG412" s="92"/>
    </row>
    <row r="413" spans="1:33" customFormat="1" ht="33" hidden="1" customHeight="1" x14ac:dyDescent="0.25">
      <c r="A413" s="56" t="s">
        <v>90</v>
      </c>
      <c r="B413" s="70" t="s">
        <v>91</v>
      </c>
      <c r="C413" s="63">
        <f t="shared" si="218"/>
        <v>2643045</v>
      </c>
      <c r="D413" s="55">
        <f t="shared" si="218"/>
        <v>27674</v>
      </c>
      <c r="E413" s="55">
        <f t="shared" si="218"/>
        <v>136172</v>
      </c>
      <c r="F413" s="55">
        <f t="shared" si="218"/>
        <v>0</v>
      </c>
      <c r="G413" s="55">
        <f>D413+E413+F413</f>
        <v>163846</v>
      </c>
      <c r="H413" s="63">
        <f t="shared" si="219"/>
        <v>179990</v>
      </c>
      <c r="I413" s="63">
        <f t="shared" si="219"/>
        <v>2018423</v>
      </c>
      <c r="J413" s="63">
        <f t="shared" si="219"/>
        <v>0</v>
      </c>
      <c r="K413" s="63">
        <f t="shared" si="199"/>
        <v>2198413</v>
      </c>
      <c r="L413" s="63">
        <f t="shared" si="220"/>
        <v>32925</v>
      </c>
      <c r="M413" s="63">
        <f t="shared" si="220"/>
        <v>247861</v>
      </c>
      <c r="N413" s="63">
        <f t="shared" si="220"/>
        <v>0</v>
      </c>
      <c r="O413" s="63">
        <f t="shared" si="200"/>
        <v>280786</v>
      </c>
      <c r="R413" s="62">
        <f t="shared" si="201"/>
        <v>2643045</v>
      </c>
      <c r="S413" s="62">
        <f>R413-C413</f>
        <v>0</v>
      </c>
      <c r="V413" s="62">
        <f t="shared" si="195"/>
        <v>0</v>
      </c>
      <c r="W413" s="62">
        <f t="shared" si="195"/>
        <v>369972</v>
      </c>
      <c r="X413" s="62">
        <f t="shared" si="195"/>
        <v>0</v>
      </c>
      <c r="Y413" s="62">
        <f t="shared" si="203"/>
        <v>369972</v>
      </c>
      <c r="Z413" s="62">
        <f t="shared" si="196"/>
        <v>-2273073</v>
      </c>
      <c r="AC413" s="98">
        <f t="shared" ref="AC413:AF413" si="224">AC217+AC241+AC266+AC315+AC339+AC364</f>
        <v>0</v>
      </c>
      <c r="AD413" s="98">
        <f t="shared" si="224"/>
        <v>0</v>
      </c>
      <c r="AE413" s="98">
        <f t="shared" si="224"/>
        <v>0</v>
      </c>
      <c r="AF413" s="98">
        <f t="shared" si="224"/>
        <v>0</v>
      </c>
      <c r="AG413" s="92"/>
    </row>
    <row r="414" spans="1:33" customFormat="1" ht="25.5" customHeight="1" x14ac:dyDescent="0.25">
      <c r="A414" s="57"/>
      <c r="B414" s="57" t="s">
        <v>0</v>
      </c>
      <c r="C414" s="58">
        <f>C396+C398+C400+C402+C403+C406+C407+C408+C409</f>
        <v>73655338</v>
      </c>
      <c r="D414" s="58">
        <f t="shared" ref="D414:O414" si="225">D396+D398+D400+D402+D403+D406+D407+D408+D409</f>
        <v>1976078</v>
      </c>
      <c r="E414" s="58">
        <f>E396+E398+E400+E402+E403+E406+E407+E408+E409</f>
        <v>6096488</v>
      </c>
      <c r="F414" s="58">
        <f t="shared" si="225"/>
        <v>121950</v>
      </c>
      <c r="G414" s="58">
        <f t="shared" si="225"/>
        <v>8194516</v>
      </c>
      <c r="H414" s="58">
        <f t="shared" si="225"/>
        <v>16894664</v>
      </c>
      <c r="I414" s="58">
        <f t="shared" si="225"/>
        <v>39987996</v>
      </c>
      <c r="J414" s="58">
        <f>J396+J398+J400+J402+J403+J406+J407+J408+J409</f>
        <v>994151</v>
      </c>
      <c r="K414" s="58">
        <f t="shared" si="225"/>
        <v>57876811</v>
      </c>
      <c r="L414" s="58">
        <f t="shared" si="225"/>
        <v>1660281</v>
      </c>
      <c r="M414" s="58">
        <f>M396+M398+M400+M402+M403+M406+M407+M408+M409</f>
        <v>5830682</v>
      </c>
      <c r="N414" s="58">
        <f t="shared" si="225"/>
        <v>93048</v>
      </c>
      <c r="O414" s="58">
        <f t="shared" si="225"/>
        <v>7584011</v>
      </c>
      <c r="R414" s="62">
        <f t="shared" si="201"/>
        <v>73655338</v>
      </c>
      <c r="S414" s="62">
        <f t="shared" ref="S414" si="226">R414-C414</f>
        <v>0</v>
      </c>
      <c r="V414" s="100">
        <f t="shared" si="195"/>
        <v>20531023</v>
      </c>
      <c r="W414" s="100">
        <f t="shared" si="195"/>
        <v>51915166</v>
      </c>
      <c r="X414" s="100">
        <f t="shared" si="195"/>
        <v>1209149</v>
      </c>
      <c r="Y414" s="100">
        <f t="shared" si="203"/>
        <v>73655338</v>
      </c>
      <c r="Z414" s="100">
        <f t="shared" si="196"/>
        <v>0</v>
      </c>
      <c r="AA414" s="101"/>
      <c r="AB414" s="101"/>
      <c r="AC414" s="98"/>
      <c r="AD414" s="98"/>
      <c r="AE414" s="98"/>
      <c r="AF414" s="98"/>
      <c r="AG414" s="92"/>
    </row>
    <row r="416" spans="1:33" customFormat="1" x14ac:dyDescent="0.25">
      <c r="A416" s="158" t="s">
        <v>95</v>
      </c>
      <c r="B416" s="158"/>
      <c r="C416" s="158"/>
      <c r="D416" s="158"/>
      <c r="E416" s="158"/>
      <c r="F416" s="158"/>
      <c r="G416" s="158"/>
      <c r="H416" s="158"/>
      <c r="I416" s="158"/>
      <c r="J416" s="158"/>
      <c r="K416" s="158"/>
      <c r="L416" s="158"/>
      <c r="M416" s="158"/>
      <c r="N416" s="158"/>
      <c r="O416" s="158"/>
      <c r="R416" s="60"/>
      <c r="S416" s="60"/>
      <c r="V416" s="60"/>
      <c r="W416" s="60"/>
      <c r="X416" s="60"/>
      <c r="Y416" s="60"/>
      <c r="Z416" s="60"/>
      <c r="AC416" s="97"/>
      <c r="AD416" s="97"/>
      <c r="AE416" s="97"/>
      <c r="AF416" s="97"/>
      <c r="AG416" s="92"/>
    </row>
    <row r="417" spans="1:34" s="4" customFormat="1" ht="28.5" customHeight="1" x14ac:dyDescent="0.25">
      <c r="A417" s="152" t="s">
        <v>17</v>
      </c>
      <c r="B417" s="152" t="s">
        <v>33</v>
      </c>
      <c r="C417" s="153" t="s">
        <v>89</v>
      </c>
      <c r="D417" s="152" t="s">
        <v>69</v>
      </c>
      <c r="E417" s="152"/>
      <c r="F417" s="152"/>
      <c r="G417" s="152"/>
      <c r="H417" s="152"/>
      <c r="I417" s="152"/>
      <c r="J417" s="152"/>
      <c r="K417" s="152"/>
      <c r="L417" s="152"/>
      <c r="M417" s="152"/>
      <c r="N417" s="152"/>
      <c r="O417" s="152"/>
      <c r="R417" s="61"/>
      <c r="S417" s="61"/>
      <c r="V417" s="61"/>
      <c r="W417" s="61"/>
      <c r="X417" s="61"/>
      <c r="Y417" s="61"/>
      <c r="Z417" s="61"/>
      <c r="AC417" s="95"/>
      <c r="AD417" s="95"/>
      <c r="AE417" s="95"/>
      <c r="AF417" s="95"/>
      <c r="AG417" s="93"/>
      <c r="AH417" s="95"/>
    </row>
    <row r="418" spans="1:34" s="4" customFormat="1" ht="41.25" customHeight="1" x14ac:dyDescent="0.25">
      <c r="A418" s="152"/>
      <c r="B418" s="152"/>
      <c r="C418" s="153"/>
      <c r="D418" s="154" t="s">
        <v>36</v>
      </c>
      <c r="E418" s="154"/>
      <c r="F418" s="154"/>
      <c r="G418" s="154"/>
      <c r="H418" s="155" t="s">
        <v>37</v>
      </c>
      <c r="I418" s="156"/>
      <c r="J418" s="156"/>
      <c r="K418" s="157"/>
      <c r="L418" s="155" t="s">
        <v>38</v>
      </c>
      <c r="M418" s="156"/>
      <c r="N418" s="156"/>
      <c r="O418" s="157"/>
      <c r="R418" s="61"/>
      <c r="S418" s="61"/>
      <c r="V418" s="61"/>
      <c r="W418" s="61"/>
      <c r="X418" s="61"/>
      <c r="Y418" s="61"/>
      <c r="Z418" s="61"/>
      <c r="AC418" s="95"/>
      <c r="AD418" s="95"/>
      <c r="AE418" s="95"/>
      <c r="AF418" s="95"/>
      <c r="AG418" s="93"/>
      <c r="AH418" s="95"/>
    </row>
    <row r="419" spans="1:34" s="4" customFormat="1" ht="59.25" customHeight="1" x14ac:dyDescent="0.25">
      <c r="A419" s="152"/>
      <c r="B419" s="152"/>
      <c r="C419" s="153"/>
      <c r="D419" s="59" t="s">
        <v>66</v>
      </c>
      <c r="E419" s="59" t="s">
        <v>67</v>
      </c>
      <c r="F419" s="59" t="s">
        <v>68</v>
      </c>
      <c r="G419" s="59" t="s">
        <v>70</v>
      </c>
      <c r="H419" s="65" t="s">
        <v>66</v>
      </c>
      <c r="I419" s="65" t="s">
        <v>67</v>
      </c>
      <c r="J419" s="65" t="s">
        <v>68</v>
      </c>
      <c r="K419" s="65" t="s">
        <v>71</v>
      </c>
      <c r="L419" s="65" t="s">
        <v>66</v>
      </c>
      <c r="M419" s="65" t="s">
        <v>67</v>
      </c>
      <c r="N419" s="65" t="s">
        <v>68</v>
      </c>
      <c r="O419" s="65" t="s">
        <v>72</v>
      </c>
      <c r="R419" s="61"/>
      <c r="S419" s="61"/>
      <c r="V419" s="61" t="s">
        <v>44</v>
      </c>
      <c r="W419" s="61" t="s">
        <v>96</v>
      </c>
      <c r="X419" s="61" t="s">
        <v>97</v>
      </c>
      <c r="Y419" s="61"/>
      <c r="Z419" s="61"/>
      <c r="AC419" s="95"/>
      <c r="AD419" s="95"/>
      <c r="AE419" s="95"/>
      <c r="AF419" s="95"/>
      <c r="AG419" s="93"/>
      <c r="AH419" s="95"/>
    </row>
    <row r="420" spans="1:34" s="3" customFormat="1" ht="14.25" customHeight="1" x14ac:dyDescent="0.25">
      <c r="A420" s="53">
        <v>1</v>
      </c>
      <c r="B420" s="53">
        <v>2</v>
      </c>
      <c r="C420" s="53">
        <v>3</v>
      </c>
      <c r="D420" s="53">
        <v>4</v>
      </c>
      <c r="E420" s="53">
        <v>5</v>
      </c>
      <c r="F420" s="53">
        <v>6</v>
      </c>
      <c r="G420" s="53">
        <v>7</v>
      </c>
      <c r="H420" s="66">
        <v>8</v>
      </c>
      <c r="I420" s="66">
        <v>9</v>
      </c>
      <c r="J420" s="66">
        <v>10</v>
      </c>
      <c r="K420" s="66">
        <v>11</v>
      </c>
      <c r="L420" s="66">
        <v>12</v>
      </c>
      <c r="M420" s="66">
        <v>13</v>
      </c>
      <c r="N420" s="66">
        <v>14</v>
      </c>
      <c r="O420" s="66">
        <v>15</v>
      </c>
      <c r="R420" s="61"/>
      <c r="S420" s="61"/>
      <c r="V420" s="61"/>
      <c r="W420" s="61"/>
      <c r="X420" s="61"/>
      <c r="Y420" s="61"/>
      <c r="Z420" s="61"/>
      <c r="AC420" s="95"/>
      <c r="AD420" s="95"/>
      <c r="AE420" s="95"/>
      <c r="AF420" s="95"/>
      <c r="AG420" s="94"/>
      <c r="AH420" s="95"/>
    </row>
    <row r="421" spans="1:34" s="3" customFormat="1" ht="25.5" customHeight="1" x14ac:dyDescent="0.25">
      <c r="A421" s="53" t="s">
        <v>16</v>
      </c>
      <c r="B421" s="54" t="s">
        <v>15</v>
      </c>
      <c r="C421" s="63">
        <f t="shared" ref="C421:F438" si="227">C80+C176+C273+C371</f>
        <v>49901452</v>
      </c>
      <c r="D421" s="55">
        <f t="shared" si="227"/>
        <v>1228488</v>
      </c>
      <c r="E421" s="55">
        <f t="shared" si="227"/>
        <v>6557633</v>
      </c>
      <c r="F421" s="55">
        <f t="shared" si="227"/>
        <v>0</v>
      </c>
      <c r="G421" s="55">
        <f t="shared" ref="G421:G438" si="228">D421+E421+F421</f>
        <v>7786121</v>
      </c>
      <c r="H421" s="63">
        <f t="shared" ref="H421:J438" si="229">H80+H176+H273+H371</f>
        <v>5180075</v>
      </c>
      <c r="I421" s="63">
        <f t="shared" si="229"/>
        <v>27651089</v>
      </c>
      <c r="J421" s="63">
        <f t="shared" si="229"/>
        <v>0</v>
      </c>
      <c r="K421" s="63">
        <f t="shared" ref="K421:K438" si="230">H421+I421+J421</f>
        <v>32831164</v>
      </c>
      <c r="L421" s="63">
        <f t="shared" ref="L421:N438" si="231">L80+L176+L273+L371</f>
        <v>1464849</v>
      </c>
      <c r="M421" s="63">
        <f t="shared" si="231"/>
        <v>7819318</v>
      </c>
      <c r="N421" s="63">
        <f t="shared" si="231"/>
        <v>0</v>
      </c>
      <c r="O421" s="63">
        <f t="shared" ref="O421:O438" si="232">L421+M421+N421</f>
        <v>9284167</v>
      </c>
      <c r="R421" s="62">
        <f t="shared" ref="R421:R439" si="233">G421+K421+O421</f>
        <v>49901452</v>
      </c>
      <c r="S421" s="62">
        <f t="shared" ref="S421:S439" si="234">R421-C421</f>
        <v>0</v>
      </c>
      <c r="V421" s="62">
        <f>D421+H421+L421</f>
        <v>7873412</v>
      </c>
      <c r="W421" s="62">
        <f>E421+I421+M421</f>
        <v>42028040</v>
      </c>
      <c r="X421" s="62">
        <f t="shared" ref="X421:X439" si="235">F421+J421+N421</f>
        <v>0</v>
      </c>
      <c r="Y421" s="62">
        <f>V421+W421+X421</f>
        <v>49901452</v>
      </c>
      <c r="Z421" s="62">
        <f>Y421-C421</f>
        <v>0</v>
      </c>
      <c r="AC421" s="98"/>
      <c r="AD421" s="95"/>
      <c r="AE421" s="95"/>
      <c r="AF421" s="95"/>
      <c r="AG421" s="94"/>
      <c r="AH421" s="95"/>
    </row>
    <row r="422" spans="1:34" ht="40.5" hidden="1" customHeight="1" x14ac:dyDescent="0.25">
      <c r="A422" s="56" t="s">
        <v>24</v>
      </c>
      <c r="B422" s="54" t="s">
        <v>14</v>
      </c>
      <c r="C422" s="63">
        <f t="shared" si="227"/>
        <v>3456980</v>
      </c>
      <c r="D422" s="55">
        <f t="shared" si="227"/>
        <v>383858</v>
      </c>
      <c r="E422" s="55">
        <f t="shared" si="227"/>
        <v>322234</v>
      </c>
      <c r="F422" s="55">
        <f t="shared" si="227"/>
        <v>10262</v>
      </c>
      <c r="G422" s="55">
        <f t="shared" si="228"/>
        <v>716354</v>
      </c>
      <c r="H422" s="63">
        <f t="shared" si="229"/>
        <v>1128085</v>
      </c>
      <c r="I422" s="63">
        <f t="shared" si="229"/>
        <v>946986</v>
      </c>
      <c r="J422" s="63">
        <f t="shared" si="229"/>
        <v>30160</v>
      </c>
      <c r="K422" s="63">
        <f t="shared" si="230"/>
        <v>2105231</v>
      </c>
      <c r="L422" s="63">
        <f t="shared" si="231"/>
        <v>340474</v>
      </c>
      <c r="M422" s="63">
        <f t="shared" si="231"/>
        <v>285818</v>
      </c>
      <c r="N422" s="63">
        <f t="shared" si="231"/>
        <v>9103</v>
      </c>
      <c r="O422" s="63">
        <f t="shared" si="232"/>
        <v>635395</v>
      </c>
      <c r="R422" s="62">
        <f t="shared" si="233"/>
        <v>3456980</v>
      </c>
      <c r="S422" s="62">
        <f t="shared" si="234"/>
        <v>0</v>
      </c>
      <c r="V422" s="62">
        <f t="shared" ref="V422:V439" si="236">D422+H422+L422</f>
        <v>1852417</v>
      </c>
      <c r="W422" s="62">
        <f t="shared" ref="W422:W439" si="237">E422+I422+M422</f>
        <v>1555038</v>
      </c>
      <c r="X422" s="62">
        <f t="shared" si="235"/>
        <v>49525</v>
      </c>
      <c r="Y422" s="62">
        <f t="shared" ref="Y422:Y439" si="238">V422+W422+X422</f>
        <v>3456980</v>
      </c>
      <c r="Z422" s="62">
        <f t="shared" ref="Z422:Z439" si="239">Y422-C422</f>
        <v>0</v>
      </c>
    </row>
    <row r="423" spans="1:34" ht="34.5" customHeight="1" x14ac:dyDescent="0.25">
      <c r="A423" s="56" t="s">
        <v>24</v>
      </c>
      <c r="B423" s="54" t="s">
        <v>13</v>
      </c>
      <c r="C423" s="63">
        <f t="shared" si="227"/>
        <v>16849168</v>
      </c>
      <c r="D423" s="55">
        <f t="shared" si="227"/>
        <v>0</v>
      </c>
      <c r="E423" s="55">
        <f t="shared" si="227"/>
        <v>955012</v>
      </c>
      <c r="F423" s="55">
        <f t="shared" si="227"/>
        <v>0</v>
      </c>
      <c r="G423" s="55">
        <f t="shared" si="228"/>
        <v>955012</v>
      </c>
      <c r="H423" s="63">
        <f t="shared" si="229"/>
        <v>0</v>
      </c>
      <c r="I423" s="63">
        <f t="shared" si="229"/>
        <v>14155830</v>
      </c>
      <c r="J423" s="63">
        <f t="shared" si="229"/>
        <v>0</v>
      </c>
      <c r="K423" s="63">
        <f t="shared" si="230"/>
        <v>14155830</v>
      </c>
      <c r="L423" s="63">
        <f t="shared" si="231"/>
        <v>0</v>
      </c>
      <c r="M423" s="63">
        <f t="shared" si="231"/>
        <v>1738326</v>
      </c>
      <c r="N423" s="63">
        <f t="shared" si="231"/>
        <v>0</v>
      </c>
      <c r="O423" s="63">
        <f t="shared" si="232"/>
        <v>1738326</v>
      </c>
      <c r="R423" s="62">
        <f t="shared" si="233"/>
        <v>16849168</v>
      </c>
      <c r="S423" s="62">
        <f t="shared" si="234"/>
        <v>0</v>
      </c>
      <c r="V423" s="62">
        <f t="shared" si="236"/>
        <v>0</v>
      </c>
      <c r="W423" s="62">
        <f t="shared" si="237"/>
        <v>16849168</v>
      </c>
      <c r="X423" s="62">
        <f t="shared" si="235"/>
        <v>0</v>
      </c>
      <c r="Y423" s="62">
        <f t="shared" si="238"/>
        <v>16849168</v>
      </c>
      <c r="Z423" s="62">
        <f t="shared" si="239"/>
        <v>0</v>
      </c>
    </row>
    <row r="424" spans="1:34" ht="40.5" hidden="1" customHeight="1" x14ac:dyDescent="0.25">
      <c r="A424" s="56" t="s">
        <v>22</v>
      </c>
      <c r="B424" s="54" t="s">
        <v>12</v>
      </c>
      <c r="C424" s="63">
        <f t="shared" si="227"/>
        <v>2104889</v>
      </c>
      <c r="D424" s="55">
        <f t="shared" si="227"/>
        <v>242125</v>
      </c>
      <c r="E424" s="55">
        <f t="shared" si="227"/>
        <v>0</v>
      </c>
      <c r="F424" s="55">
        <f t="shared" si="227"/>
        <v>0</v>
      </c>
      <c r="G424" s="55">
        <f t="shared" si="228"/>
        <v>242125</v>
      </c>
      <c r="H424" s="63">
        <f t="shared" si="229"/>
        <v>1574709</v>
      </c>
      <c r="I424" s="63">
        <f t="shared" si="229"/>
        <v>0</v>
      </c>
      <c r="J424" s="63">
        <f t="shared" si="229"/>
        <v>0</v>
      </c>
      <c r="K424" s="63">
        <f t="shared" si="230"/>
        <v>1574709</v>
      </c>
      <c r="L424" s="63">
        <f t="shared" si="231"/>
        <v>288055</v>
      </c>
      <c r="M424" s="63">
        <f t="shared" si="231"/>
        <v>0</v>
      </c>
      <c r="N424" s="63">
        <f t="shared" si="231"/>
        <v>0</v>
      </c>
      <c r="O424" s="63">
        <f t="shared" si="232"/>
        <v>288055</v>
      </c>
      <c r="R424" s="62">
        <f t="shared" si="233"/>
        <v>2104889</v>
      </c>
      <c r="S424" s="62">
        <f t="shared" si="234"/>
        <v>0</v>
      </c>
      <c r="V424" s="62">
        <f t="shared" si="236"/>
        <v>2104889</v>
      </c>
      <c r="W424" s="62">
        <f t="shared" si="237"/>
        <v>0</v>
      </c>
      <c r="X424" s="62">
        <f t="shared" si="235"/>
        <v>0</v>
      </c>
      <c r="Y424" s="62">
        <f t="shared" si="238"/>
        <v>2104889</v>
      </c>
      <c r="Z424" s="62">
        <f t="shared" si="239"/>
        <v>0</v>
      </c>
    </row>
    <row r="425" spans="1:34" ht="39.75" customHeight="1" x14ac:dyDescent="0.25">
      <c r="A425" s="56" t="s">
        <v>23</v>
      </c>
      <c r="B425" s="54" t="s">
        <v>11</v>
      </c>
      <c r="C425" s="63">
        <f t="shared" si="227"/>
        <v>1965020</v>
      </c>
      <c r="D425" s="55">
        <f t="shared" si="227"/>
        <v>76870</v>
      </c>
      <c r="E425" s="55">
        <f t="shared" si="227"/>
        <v>121678</v>
      </c>
      <c r="F425" s="55">
        <f t="shared" si="227"/>
        <v>52678</v>
      </c>
      <c r="G425" s="55">
        <f t="shared" si="228"/>
        <v>251226</v>
      </c>
      <c r="H425" s="63">
        <f t="shared" si="229"/>
        <v>407781</v>
      </c>
      <c r="I425" s="63">
        <f t="shared" si="229"/>
        <v>645468</v>
      </c>
      <c r="J425" s="63">
        <f t="shared" si="229"/>
        <v>279448</v>
      </c>
      <c r="K425" s="63">
        <f t="shared" si="230"/>
        <v>1332697</v>
      </c>
      <c r="L425" s="63">
        <f t="shared" si="231"/>
        <v>116607</v>
      </c>
      <c r="M425" s="63">
        <f t="shared" si="231"/>
        <v>184578</v>
      </c>
      <c r="N425" s="63">
        <f t="shared" si="231"/>
        <v>79912</v>
      </c>
      <c r="O425" s="63">
        <f t="shared" si="232"/>
        <v>381097</v>
      </c>
      <c r="R425" s="62">
        <f t="shared" si="233"/>
        <v>1965020</v>
      </c>
      <c r="S425" s="62">
        <f t="shared" si="234"/>
        <v>0</v>
      </c>
      <c r="V425" s="62">
        <f t="shared" si="236"/>
        <v>601258</v>
      </c>
      <c r="W425" s="62">
        <f t="shared" si="237"/>
        <v>951724</v>
      </c>
      <c r="X425" s="62">
        <f t="shared" si="235"/>
        <v>412038</v>
      </c>
      <c r="Y425" s="62">
        <f t="shared" si="238"/>
        <v>1965020</v>
      </c>
      <c r="Z425" s="62">
        <f t="shared" si="239"/>
        <v>0</v>
      </c>
    </row>
    <row r="426" spans="1:34" ht="28.5" hidden="1" customHeight="1" x14ac:dyDescent="0.25">
      <c r="A426" s="56" t="s">
        <v>20</v>
      </c>
      <c r="B426" s="54" t="s">
        <v>34</v>
      </c>
      <c r="C426" s="63">
        <f t="shared" si="227"/>
        <v>3117319</v>
      </c>
      <c r="D426" s="55">
        <f t="shared" si="227"/>
        <v>583499</v>
      </c>
      <c r="E426" s="55">
        <f t="shared" si="227"/>
        <v>0</v>
      </c>
      <c r="F426" s="55">
        <f t="shared" si="227"/>
        <v>0</v>
      </c>
      <c r="G426" s="55">
        <f t="shared" si="228"/>
        <v>583499</v>
      </c>
      <c r="H426" s="63">
        <f t="shared" si="229"/>
        <v>1904590</v>
      </c>
      <c r="I426" s="63">
        <f t="shared" si="229"/>
        <v>0</v>
      </c>
      <c r="J426" s="63">
        <f t="shared" si="229"/>
        <v>0</v>
      </c>
      <c r="K426" s="63">
        <f t="shared" si="230"/>
        <v>1904590</v>
      </c>
      <c r="L426" s="63">
        <f t="shared" si="231"/>
        <v>629230</v>
      </c>
      <c r="M426" s="63">
        <f t="shared" si="231"/>
        <v>0</v>
      </c>
      <c r="N426" s="63">
        <f t="shared" si="231"/>
        <v>0</v>
      </c>
      <c r="O426" s="63">
        <f t="shared" si="232"/>
        <v>629230</v>
      </c>
      <c r="R426" s="62">
        <f t="shared" si="233"/>
        <v>3117319</v>
      </c>
      <c r="S426" s="62">
        <f t="shared" si="234"/>
        <v>0</v>
      </c>
      <c r="V426" s="62">
        <f t="shared" si="236"/>
        <v>3117319</v>
      </c>
      <c r="W426" s="62">
        <f t="shared" si="237"/>
        <v>0</v>
      </c>
      <c r="X426" s="62">
        <f t="shared" si="235"/>
        <v>0</v>
      </c>
      <c r="Y426" s="62">
        <f t="shared" si="238"/>
        <v>3117319</v>
      </c>
      <c r="Z426" s="62">
        <f t="shared" si="239"/>
        <v>0</v>
      </c>
    </row>
    <row r="427" spans="1:34" ht="34.5" customHeight="1" x14ac:dyDescent="0.25">
      <c r="A427" s="56" t="s">
        <v>22</v>
      </c>
      <c r="B427" s="54" t="s">
        <v>10</v>
      </c>
      <c r="C427" s="63">
        <f t="shared" si="227"/>
        <v>11874155</v>
      </c>
      <c r="D427" s="55">
        <f t="shared" si="227"/>
        <v>257919</v>
      </c>
      <c r="E427" s="55">
        <f t="shared" si="227"/>
        <v>337356</v>
      </c>
      <c r="F427" s="55">
        <f t="shared" si="227"/>
        <v>15884</v>
      </c>
      <c r="G427" s="55">
        <f t="shared" si="228"/>
        <v>611159</v>
      </c>
      <c r="H427" s="63">
        <f t="shared" si="229"/>
        <v>4011485</v>
      </c>
      <c r="I427" s="63">
        <f t="shared" si="229"/>
        <v>5246962</v>
      </c>
      <c r="J427" s="63">
        <f t="shared" si="229"/>
        <v>247053</v>
      </c>
      <c r="K427" s="63">
        <f t="shared" si="230"/>
        <v>9505500</v>
      </c>
      <c r="L427" s="63">
        <f t="shared" si="231"/>
        <v>741696</v>
      </c>
      <c r="M427" s="63">
        <f t="shared" si="231"/>
        <v>970124</v>
      </c>
      <c r="N427" s="63">
        <f t="shared" si="231"/>
        <v>45676</v>
      </c>
      <c r="O427" s="63">
        <f t="shared" si="232"/>
        <v>1757496</v>
      </c>
      <c r="R427" s="62">
        <f t="shared" si="233"/>
        <v>11874155</v>
      </c>
      <c r="S427" s="62">
        <f t="shared" si="234"/>
        <v>0</v>
      </c>
      <c r="V427" s="62">
        <f t="shared" si="236"/>
        <v>5011100</v>
      </c>
      <c r="W427" s="62">
        <f t="shared" si="237"/>
        <v>6554442</v>
      </c>
      <c r="X427" s="62">
        <f t="shared" si="235"/>
        <v>308613</v>
      </c>
      <c r="Y427" s="62">
        <f t="shared" si="238"/>
        <v>11874155</v>
      </c>
      <c r="Z427" s="62">
        <f t="shared" si="239"/>
        <v>0</v>
      </c>
    </row>
    <row r="428" spans="1:34" ht="25.5" customHeight="1" x14ac:dyDescent="0.25">
      <c r="A428" s="56" t="s">
        <v>21</v>
      </c>
      <c r="B428" s="54" t="s">
        <v>9</v>
      </c>
      <c r="C428" s="63">
        <f t="shared" si="227"/>
        <v>10262439</v>
      </c>
      <c r="D428" s="55">
        <f t="shared" si="227"/>
        <v>869461</v>
      </c>
      <c r="E428" s="55">
        <f t="shared" si="227"/>
        <v>1570761</v>
      </c>
      <c r="F428" s="55">
        <f t="shared" si="227"/>
        <v>31593</v>
      </c>
      <c r="G428" s="55">
        <f t="shared" si="228"/>
        <v>2471815</v>
      </c>
      <c r="H428" s="63">
        <f t="shared" si="229"/>
        <v>2716750</v>
      </c>
      <c r="I428" s="63">
        <f t="shared" si="229"/>
        <v>4908047</v>
      </c>
      <c r="J428" s="63">
        <f t="shared" si="229"/>
        <v>98711</v>
      </c>
      <c r="K428" s="63">
        <f t="shared" si="230"/>
        <v>7723508</v>
      </c>
      <c r="L428" s="63">
        <f t="shared" si="231"/>
        <v>23608</v>
      </c>
      <c r="M428" s="63">
        <f t="shared" si="231"/>
        <v>42651</v>
      </c>
      <c r="N428" s="63">
        <f t="shared" si="231"/>
        <v>857</v>
      </c>
      <c r="O428" s="63">
        <f t="shared" si="232"/>
        <v>67116</v>
      </c>
      <c r="R428" s="62">
        <f t="shared" si="233"/>
        <v>10262439</v>
      </c>
      <c r="S428" s="62">
        <f t="shared" si="234"/>
        <v>0</v>
      </c>
      <c r="V428" s="62">
        <f t="shared" si="236"/>
        <v>3609819</v>
      </c>
      <c r="W428" s="62">
        <f t="shared" si="237"/>
        <v>6521459</v>
      </c>
      <c r="X428" s="62">
        <f t="shared" si="235"/>
        <v>131161</v>
      </c>
      <c r="Y428" s="62">
        <f t="shared" si="238"/>
        <v>10262439</v>
      </c>
      <c r="Z428" s="62">
        <f t="shared" si="239"/>
        <v>0</v>
      </c>
    </row>
    <row r="429" spans="1:34" ht="25.5" hidden="1" customHeight="1" x14ac:dyDescent="0.25">
      <c r="A429" s="56" t="s">
        <v>25</v>
      </c>
      <c r="B429" s="54" t="s">
        <v>8</v>
      </c>
      <c r="C429" s="63">
        <f t="shared" si="227"/>
        <v>14723877</v>
      </c>
      <c r="D429" s="55">
        <f t="shared" si="227"/>
        <v>103821</v>
      </c>
      <c r="E429" s="55">
        <f t="shared" si="227"/>
        <v>477774</v>
      </c>
      <c r="F429" s="55">
        <f t="shared" si="227"/>
        <v>0</v>
      </c>
      <c r="G429" s="55">
        <f t="shared" si="228"/>
        <v>581595</v>
      </c>
      <c r="H429" s="63">
        <f t="shared" si="229"/>
        <v>1684963</v>
      </c>
      <c r="I429" s="63">
        <f t="shared" si="229"/>
        <v>7754218</v>
      </c>
      <c r="J429" s="63">
        <f t="shared" si="229"/>
        <v>0</v>
      </c>
      <c r="K429" s="63">
        <f t="shared" si="230"/>
        <v>9439181</v>
      </c>
      <c r="L429" s="63">
        <f t="shared" si="231"/>
        <v>839538</v>
      </c>
      <c r="M429" s="63">
        <f t="shared" si="231"/>
        <v>3863563</v>
      </c>
      <c r="N429" s="63">
        <f t="shared" si="231"/>
        <v>0</v>
      </c>
      <c r="O429" s="63">
        <f t="shared" si="232"/>
        <v>4703101</v>
      </c>
      <c r="R429" s="62">
        <f t="shared" si="233"/>
        <v>14723877</v>
      </c>
      <c r="S429" s="62">
        <f t="shared" si="234"/>
        <v>0</v>
      </c>
      <c r="V429" s="62">
        <f t="shared" si="236"/>
        <v>2628322</v>
      </c>
      <c r="W429" s="62">
        <f t="shared" si="237"/>
        <v>12095555</v>
      </c>
      <c r="X429" s="62">
        <f t="shared" si="235"/>
        <v>0</v>
      </c>
      <c r="Y429" s="62">
        <f t="shared" si="238"/>
        <v>14723877</v>
      </c>
      <c r="Z429" s="62">
        <f t="shared" si="239"/>
        <v>0</v>
      </c>
    </row>
    <row r="430" spans="1:34" ht="25.5" hidden="1" customHeight="1" x14ac:dyDescent="0.25">
      <c r="A430" s="56" t="s">
        <v>26</v>
      </c>
      <c r="B430" s="54" t="s">
        <v>7</v>
      </c>
      <c r="C430" s="63">
        <f t="shared" si="227"/>
        <v>8937921</v>
      </c>
      <c r="D430" s="55">
        <f t="shared" si="227"/>
        <v>20324</v>
      </c>
      <c r="E430" s="55">
        <f t="shared" si="227"/>
        <v>142972</v>
      </c>
      <c r="F430" s="55">
        <f t="shared" si="227"/>
        <v>0</v>
      </c>
      <c r="G430" s="55">
        <f t="shared" si="228"/>
        <v>163296</v>
      </c>
      <c r="H430" s="63">
        <f t="shared" si="229"/>
        <v>992926</v>
      </c>
      <c r="I430" s="63">
        <f t="shared" si="229"/>
        <v>6984884</v>
      </c>
      <c r="J430" s="63">
        <f t="shared" si="229"/>
        <v>0</v>
      </c>
      <c r="K430" s="63">
        <f t="shared" si="230"/>
        <v>7977810</v>
      </c>
      <c r="L430" s="63">
        <f t="shared" si="231"/>
        <v>99173</v>
      </c>
      <c r="M430" s="63">
        <f t="shared" si="231"/>
        <v>697642</v>
      </c>
      <c r="N430" s="63">
        <f t="shared" si="231"/>
        <v>0</v>
      </c>
      <c r="O430" s="63">
        <f t="shared" si="232"/>
        <v>796815</v>
      </c>
      <c r="R430" s="62">
        <f t="shared" si="233"/>
        <v>8937921</v>
      </c>
      <c r="S430" s="62">
        <f t="shared" si="234"/>
        <v>0</v>
      </c>
      <c r="V430" s="62">
        <f t="shared" si="236"/>
        <v>1112423</v>
      </c>
      <c r="W430" s="62">
        <f t="shared" si="237"/>
        <v>7825498</v>
      </c>
      <c r="X430" s="62">
        <f t="shared" si="235"/>
        <v>0</v>
      </c>
      <c r="Y430" s="62">
        <f t="shared" si="238"/>
        <v>8937921</v>
      </c>
      <c r="Z430" s="62">
        <f t="shared" si="239"/>
        <v>0</v>
      </c>
    </row>
    <row r="431" spans="1:34" ht="25.5" customHeight="1" x14ac:dyDescent="0.25">
      <c r="A431" s="56" t="s">
        <v>20</v>
      </c>
      <c r="B431" s="54" t="s">
        <v>6</v>
      </c>
      <c r="C431" s="63">
        <f t="shared" si="227"/>
        <v>9906241</v>
      </c>
      <c r="D431" s="55">
        <f t="shared" si="227"/>
        <v>37531</v>
      </c>
      <c r="E431" s="55">
        <f t="shared" si="227"/>
        <v>30565</v>
      </c>
      <c r="F431" s="55">
        <f t="shared" si="227"/>
        <v>948</v>
      </c>
      <c r="G431" s="55">
        <f t="shared" si="228"/>
        <v>69044</v>
      </c>
      <c r="H431" s="63">
        <f t="shared" si="229"/>
        <v>5339145</v>
      </c>
      <c r="I431" s="63">
        <f t="shared" si="229"/>
        <v>4348349</v>
      </c>
      <c r="J431" s="63">
        <f t="shared" si="229"/>
        <v>134843</v>
      </c>
      <c r="K431" s="63">
        <f t="shared" si="230"/>
        <v>9822337</v>
      </c>
      <c r="L431" s="63">
        <f t="shared" si="231"/>
        <v>8077</v>
      </c>
      <c r="M431" s="63">
        <f t="shared" si="231"/>
        <v>6580</v>
      </c>
      <c r="N431" s="63">
        <f t="shared" si="231"/>
        <v>203</v>
      </c>
      <c r="O431" s="63">
        <f t="shared" si="232"/>
        <v>14860</v>
      </c>
      <c r="R431" s="62">
        <f t="shared" si="233"/>
        <v>9906241</v>
      </c>
      <c r="S431" s="62">
        <f t="shared" si="234"/>
        <v>0</v>
      </c>
      <c r="V431" s="62">
        <f t="shared" si="236"/>
        <v>5384753</v>
      </c>
      <c r="W431" s="62">
        <f t="shared" si="237"/>
        <v>4385494</v>
      </c>
      <c r="X431" s="62">
        <f t="shared" si="235"/>
        <v>135994</v>
      </c>
      <c r="Y431" s="62">
        <f t="shared" si="238"/>
        <v>9906241</v>
      </c>
      <c r="Z431" s="62">
        <f t="shared" si="239"/>
        <v>0</v>
      </c>
    </row>
    <row r="432" spans="1:34" ht="25.5" customHeight="1" x14ac:dyDescent="0.25">
      <c r="A432" s="56" t="s">
        <v>19</v>
      </c>
      <c r="B432" s="54" t="s">
        <v>5</v>
      </c>
      <c r="C432" s="63">
        <f t="shared" si="227"/>
        <v>12470431</v>
      </c>
      <c r="D432" s="55">
        <f t="shared" si="227"/>
        <v>472866</v>
      </c>
      <c r="E432" s="55">
        <f t="shared" si="227"/>
        <v>1182974</v>
      </c>
      <c r="F432" s="55">
        <f t="shared" si="227"/>
        <v>69443</v>
      </c>
      <c r="G432" s="55">
        <f t="shared" si="228"/>
        <v>1725283</v>
      </c>
      <c r="H432" s="63">
        <f t="shared" si="229"/>
        <v>2916358</v>
      </c>
      <c r="I432" s="63">
        <f t="shared" si="229"/>
        <v>7295859</v>
      </c>
      <c r="J432" s="63">
        <f t="shared" si="229"/>
        <v>428302</v>
      </c>
      <c r="K432" s="63">
        <f t="shared" si="230"/>
        <v>10640519</v>
      </c>
      <c r="L432" s="63">
        <f t="shared" si="231"/>
        <v>28675</v>
      </c>
      <c r="M432" s="63">
        <f t="shared" si="231"/>
        <v>71738</v>
      </c>
      <c r="N432" s="63">
        <f t="shared" si="231"/>
        <v>4216</v>
      </c>
      <c r="O432" s="63">
        <f t="shared" si="232"/>
        <v>104629</v>
      </c>
      <c r="R432" s="62">
        <f t="shared" si="233"/>
        <v>12470431</v>
      </c>
      <c r="S432" s="62">
        <f t="shared" si="234"/>
        <v>0</v>
      </c>
      <c r="V432" s="62">
        <f t="shared" si="236"/>
        <v>3417899</v>
      </c>
      <c r="W432" s="62">
        <f t="shared" si="237"/>
        <v>8550571</v>
      </c>
      <c r="X432" s="62">
        <f t="shared" si="235"/>
        <v>501961</v>
      </c>
      <c r="Y432" s="62">
        <f t="shared" si="238"/>
        <v>12470431</v>
      </c>
      <c r="Z432" s="62">
        <f t="shared" si="239"/>
        <v>0</v>
      </c>
    </row>
    <row r="433" spans="1:26" customFormat="1" ht="25.5" customHeight="1" x14ac:dyDescent="0.25">
      <c r="A433" s="56" t="s">
        <v>18</v>
      </c>
      <c r="B433" s="54" t="s">
        <v>4</v>
      </c>
      <c r="C433" s="63">
        <f t="shared" si="227"/>
        <v>9916111</v>
      </c>
      <c r="D433" s="55">
        <f t="shared" si="227"/>
        <v>192289</v>
      </c>
      <c r="E433" s="55">
        <f t="shared" si="227"/>
        <v>324020</v>
      </c>
      <c r="F433" s="55">
        <f t="shared" si="227"/>
        <v>13413</v>
      </c>
      <c r="G433" s="55">
        <f t="shared" si="228"/>
        <v>529722</v>
      </c>
      <c r="H433" s="63">
        <f t="shared" si="229"/>
        <v>3294676</v>
      </c>
      <c r="I433" s="63">
        <f t="shared" si="229"/>
        <v>5551808</v>
      </c>
      <c r="J433" s="63">
        <f t="shared" si="229"/>
        <v>229828</v>
      </c>
      <c r="K433" s="63">
        <f t="shared" si="230"/>
        <v>9076312</v>
      </c>
      <c r="L433" s="63">
        <f t="shared" si="231"/>
        <v>112556</v>
      </c>
      <c r="M433" s="63">
        <f t="shared" si="231"/>
        <v>189668</v>
      </c>
      <c r="N433" s="63">
        <f t="shared" si="231"/>
        <v>7853</v>
      </c>
      <c r="O433" s="63">
        <f t="shared" si="232"/>
        <v>310077</v>
      </c>
      <c r="R433" s="62">
        <f t="shared" si="233"/>
        <v>9916111</v>
      </c>
      <c r="S433" s="62">
        <f t="shared" si="234"/>
        <v>0</v>
      </c>
      <c r="V433" s="62">
        <f t="shared" si="236"/>
        <v>3599521</v>
      </c>
      <c r="W433" s="62">
        <f t="shared" si="237"/>
        <v>6065496</v>
      </c>
      <c r="X433" s="62">
        <f t="shared" si="235"/>
        <v>251094</v>
      </c>
      <c r="Y433" s="62">
        <f t="shared" si="238"/>
        <v>9916111</v>
      </c>
      <c r="Z433" s="62">
        <f t="shared" si="239"/>
        <v>0</v>
      </c>
    </row>
    <row r="434" spans="1:26" customFormat="1" ht="25.5" customHeight="1" x14ac:dyDescent="0.25">
      <c r="A434" s="56" t="s">
        <v>25</v>
      </c>
      <c r="B434" s="54" t="s">
        <v>3</v>
      </c>
      <c r="C434" s="63">
        <f t="shared" si="227"/>
        <v>10671903</v>
      </c>
      <c r="D434" s="55">
        <f t="shared" si="227"/>
        <v>511513</v>
      </c>
      <c r="E434" s="55">
        <f t="shared" si="227"/>
        <v>251819</v>
      </c>
      <c r="F434" s="55">
        <f t="shared" si="227"/>
        <v>23615</v>
      </c>
      <c r="G434" s="55">
        <f t="shared" si="228"/>
        <v>786947</v>
      </c>
      <c r="H434" s="63">
        <f t="shared" si="229"/>
        <v>5715171</v>
      </c>
      <c r="I434" s="63">
        <f t="shared" si="229"/>
        <v>2813602</v>
      </c>
      <c r="J434" s="63">
        <f t="shared" si="229"/>
        <v>263809</v>
      </c>
      <c r="K434" s="63">
        <f t="shared" si="230"/>
        <v>8792582</v>
      </c>
      <c r="L434" s="63">
        <f t="shared" si="231"/>
        <v>710040</v>
      </c>
      <c r="M434" s="63">
        <f t="shared" si="231"/>
        <v>349558</v>
      </c>
      <c r="N434" s="63">
        <f t="shared" si="231"/>
        <v>32776</v>
      </c>
      <c r="O434" s="63">
        <f t="shared" si="232"/>
        <v>1092374</v>
      </c>
      <c r="R434" s="62">
        <f t="shared" si="233"/>
        <v>10671903</v>
      </c>
      <c r="S434" s="62">
        <f t="shared" si="234"/>
        <v>0</v>
      </c>
      <c r="V434" s="62">
        <f t="shared" si="236"/>
        <v>6936724</v>
      </c>
      <c r="W434" s="62">
        <f t="shared" si="237"/>
        <v>3414979</v>
      </c>
      <c r="X434" s="62">
        <f t="shared" si="235"/>
        <v>320200</v>
      </c>
      <c r="Y434" s="62">
        <f t="shared" si="238"/>
        <v>10671903</v>
      </c>
      <c r="Z434" s="62">
        <f t="shared" si="239"/>
        <v>0</v>
      </c>
    </row>
    <row r="435" spans="1:26" customFormat="1" ht="54" hidden="1" customHeight="1" x14ac:dyDescent="0.25">
      <c r="A435" s="56" t="s">
        <v>30</v>
      </c>
      <c r="B435" s="54" t="s">
        <v>2</v>
      </c>
      <c r="C435" s="63">
        <f t="shared" si="227"/>
        <v>932904</v>
      </c>
      <c r="D435" s="55">
        <f t="shared" si="227"/>
        <v>26419</v>
      </c>
      <c r="E435" s="55">
        <f t="shared" si="227"/>
        <v>0</v>
      </c>
      <c r="F435" s="55">
        <f t="shared" si="227"/>
        <v>0</v>
      </c>
      <c r="G435" s="55">
        <f t="shared" si="228"/>
        <v>26419</v>
      </c>
      <c r="H435" s="63">
        <f t="shared" si="229"/>
        <v>781000</v>
      </c>
      <c r="I435" s="63">
        <f t="shared" si="229"/>
        <v>0</v>
      </c>
      <c r="J435" s="63">
        <f t="shared" si="229"/>
        <v>0</v>
      </c>
      <c r="K435" s="63">
        <f t="shared" si="230"/>
        <v>781000</v>
      </c>
      <c r="L435" s="63">
        <f t="shared" si="231"/>
        <v>125485</v>
      </c>
      <c r="M435" s="63">
        <f t="shared" si="231"/>
        <v>0</v>
      </c>
      <c r="N435" s="63">
        <f t="shared" si="231"/>
        <v>0</v>
      </c>
      <c r="O435" s="63">
        <f t="shared" si="232"/>
        <v>125485</v>
      </c>
      <c r="R435" s="62">
        <f t="shared" si="233"/>
        <v>932904</v>
      </c>
      <c r="S435" s="62">
        <f t="shared" si="234"/>
        <v>0</v>
      </c>
      <c r="V435" s="62">
        <f t="shared" si="236"/>
        <v>932904</v>
      </c>
      <c r="W435" s="62">
        <f t="shared" si="237"/>
        <v>0</v>
      </c>
      <c r="X435" s="62">
        <f t="shared" si="235"/>
        <v>0</v>
      </c>
      <c r="Y435" s="62">
        <f t="shared" si="238"/>
        <v>932904</v>
      </c>
      <c r="Z435" s="62">
        <f t="shared" si="239"/>
        <v>0</v>
      </c>
    </row>
    <row r="436" spans="1:26" customFormat="1" ht="39.75" hidden="1" customHeight="1" x14ac:dyDescent="0.25">
      <c r="A436" s="56" t="s">
        <v>31</v>
      </c>
      <c r="B436" s="54" t="s">
        <v>1</v>
      </c>
      <c r="C436" s="63">
        <f t="shared" si="227"/>
        <v>678715</v>
      </c>
      <c r="D436" s="55">
        <f t="shared" si="227"/>
        <v>50483</v>
      </c>
      <c r="E436" s="55">
        <f t="shared" si="227"/>
        <v>0</v>
      </c>
      <c r="F436" s="55">
        <f t="shared" si="227"/>
        <v>0</v>
      </c>
      <c r="G436" s="55">
        <f t="shared" si="228"/>
        <v>50483</v>
      </c>
      <c r="H436" s="63">
        <f t="shared" si="229"/>
        <v>600853</v>
      </c>
      <c r="I436" s="63">
        <f t="shared" si="229"/>
        <v>0</v>
      </c>
      <c r="J436" s="63">
        <f t="shared" si="229"/>
        <v>0</v>
      </c>
      <c r="K436" s="63">
        <f t="shared" si="230"/>
        <v>600853</v>
      </c>
      <c r="L436" s="63">
        <f t="shared" si="231"/>
        <v>27379</v>
      </c>
      <c r="M436" s="63">
        <f t="shared" si="231"/>
        <v>0</v>
      </c>
      <c r="N436" s="63">
        <f t="shared" si="231"/>
        <v>0</v>
      </c>
      <c r="O436" s="63">
        <f t="shared" si="232"/>
        <v>27379</v>
      </c>
      <c r="R436" s="62">
        <f t="shared" si="233"/>
        <v>678715</v>
      </c>
      <c r="S436" s="62">
        <f t="shared" si="234"/>
        <v>0</v>
      </c>
      <c r="V436" s="62">
        <f t="shared" si="236"/>
        <v>678715</v>
      </c>
      <c r="W436" s="62">
        <f t="shared" si="237"/>
        <v>0</v>
      </c>
      <c r="X436" s="62">
        <f t="shared" si="235"/>
        <v>0</v>
      </c>
      <c r="Y436" s="62">
        <f t="shared" si="238"/>
        <v>678715</v>
      </c>
      <c r="Z436" s="62">
        <f t="shared" si="239"/>
        <v>0</v>
      </c>
    </row>
    <row r="437" spans="1:26" customFormat="1" ht="33" hidden="1" customHeight="1" x14ac:dyDescent="0.25">
      <c r="A437" s="56" t="s">
        <v>32</v>
      </c>
      <c r="B437" s="54" t="s">
        <v>73</v>
      </c>
      <c r="C437" s="63">
        <f t="shared" si="227"/>
        <v>892750</v>
      </c>
      <c r="D437" s="55">
        <f t="shared" si="227"/>
        <v>175593</v>
      </c>
      <c r="E437" s="55">
        <f t="shared" si="227"/>
        <v>0</v>
      </c>
      <c r="F437" s="55">
        <f t="shared" si="227"/>
        <v>0</v>
      </c>
      <c r="G437" s="55">
        <f t="shared" si="228"/>
        <v>175593</v>
      </c>
      <c r="H437" s="63">
        <f t="shared" si="229"/>
        <v>574806</v>
      </c>
      <c r="I437" s="63">
        <f t="shared" si="229"/>
        <v>0</v>
      </c>
      <c r="J437" s="63">
        <f t="shared" si="229"/>
        <v>0</v>
      </c>
      <c r="K437" s="63">
        <f t="shared" si="230"/>
        <v>574806</v>
      </c>
      <c r="L437" s="63">
        <f t="shared" si="231"/>
        <v>142351</v>
      </c>
      <c r="M437" s="63">
        <f t="shared" si="231"/>
        <v>0</v>
      </c>
      <c r="N437" s="63">
        <f t="shared" si="231"/>
        <v>0</v>
      </c>
      <c r="O437" s="63">
        <f t="shared" si="232"/>
        <v>142351</v>
      </c>
      <c r="R437" s="62">
        <f t="shared" si="233"/>
        <v>892750</v>
      </c>
      <c r="S437" s="62">
        <f t="shared" si="234"/>
        <v>0</v>
      </c>
      <c r="V437" s="62">
        <f t="shared" si="236"/>
        <v>892750</v>
      </c>
      <c r="W437" s="62">
        <f t="shared" si="237"/>
        <v>0</v>
      </c>
      <c r="X437" s="62">
        <f t="shared" si="235"/>
        <v>0</v>
      </c>
      <c r="Y437" s="62">
        <f t="shared" si="238"/>
        <v>892750</v>
      </c>
      <c r="Z437" s="62">
        <f t="shared" si="239"/>
        <v>0</v>
      </c>
    </row>
    <row r="438" spans="1:26" customFormat="1" ht="33" hidden="1" customHeight="1" x14ac:dyDescent="0.25">
      <c r="A438" s="56" t="s">
        <v>90</v>
      </c>
      <c r="B438" s="70" t="s">
        <v>91</v>
      </c>
      <c r="C438" s="63">
        <f t="shared" si="227"/>
        <v>739943</v>
      </c>
      <c r="D438" s="55">
        <f t="shared" si="227"/>
        <v>0</v>
      </c>
      <c r="E438" s="55">
        <f t="shared" si="227"/>
        <v>125228</v>
      </c>
      <c r="F438" s="55">
        <f t="shared" si="227"/>
        <v>0</v>
      </c>
      <c r="G438" s="55">
        <f t="shared" si="228"/>
        <v>125228</v>
      </c>
      <c r="H438" s="63">
        <f t="shared" si="229"/>
        <v>0</v>
      </c>
      <c r="I438" s="63">
        <f t="shared" si="229"/>
        <v>411675</v>
      </c>
      <c r="J438" s="63">
        <f t="shared" si="229"/>
        <v>0</v>
      </c>
      <c r="K438" s="63">
        <f t="shared" si="230"/>
        <v>411675</v>
      </c>
      <c r="L438" s="63">
        <f t="shared" si="231"/>
        <v>0</v>
      </c>
      <c r="M438" s="63">
        <f t="shared" si="231"/>
        <v>203040</v>
      </c>
      <c r="N438" s="63">
        <f t="shared" si="231"/>
        <v>0</v>
      </c>
      <c r="O438" s="63">
        <f t="shared" si="232"/>
        <v>203040</v>
      </c>
      <c r="R438" s="62">
        <f t="shared" si="233"/>
        <v>739943</v>
      </c>
      <c r="S438" s="62">
        <f t="shared" si="234"/>
        <v>0</v>
      </c>
      <c r="V438" s="62">
        <f t="shared" si="236"/>
        <v>0</v>
      </c>
      <c r="W438" s="62">
        <f t="shared" si="237"/>
        <v>739943</v>
      </c>
      <c r="X438" s="62">
        <f t="shared" si="235"/>
        <v>0</v>
      </c>
      <c r="Y438" s="62">
        <f t="shared" si="238"/>
        <v>739943</v>
      </c>
      <c r="Z438" s="62">
        <f t="shared" si="239"/>
        <v>0</v>
      </c>
    </row>
    <row r="439" spans="1:26" customFormat="1" ht="25.5" customHeight="1" x14ac:dyDescent="0.25">
      <c r="A439" s="57"/>
      <c r="B439" s="57" t="s">
        <v>0</v>
      </c>
      <c r="C439" s="58">
        <f t="shared" ref="C439:O439" si="240">C421+C423+C425+C427+C428+C431+C432+C433+C434</f>
        <v>133816920</v>
      </c>
      <c r="D439" s="58">
        <f t="shared" si="240"/>
        <v>3646937</v>
      </c>
      <c r="E439" s="58">
        <f t="shared" si="240"/>
        <v>11331818</v>
      </c>
      <c r="F439" s="58">
        <f t="shared" si="240"/>
        <v>207574</v>
      </c>
      <c r="G439" s="58">
        <f t="shared" si="240"/>
        <v>15186329</v>
      </c>
      <c r="H439" s="58">
        <f t="shared" si="240"/>
        <v>29581441</v>
      </c>
      <c r="I439" s="58">
        <f t="shared" si="240"/>
        <v>72617014</v>
      </c>
      <c r="J439" s="58">
        <f t="shared" si="240"/>
        <v>1681994</v>
      </c>
      <c r="K439" s="58">
        <f t="shared" si="240"/>
        <v>103880449</v>
      </c>
      <c r="L439" s="58">
        <f t="shared" si="240"/>
        <v>3206108</v>
      </c>
      <c r="M439" s="58">
        <f t="shared" si="240"/>
        <v>11372541</v>
      </c>
      <c r="N439" s="58">
        <f t="shared" si="240"/>
        <v>171493</v>
      </c>
      <c r="O439" s="58">
        <f t="shared" si="240"/>
        <v>14750142</v>
      </c>
      <c r="R439" s="62">
        <f t="shared" si="233"/>
        <v>133816920</v>
      </c>
      <c r="S439" s="62">
        <f t="shared" si="234"/>
        <v>0</v>
      </c>
      <c r="V439" s="62">
        <f t="shared" si="236"/>
        <v>36434486</v>
      </c>
      <c r="W439" s="62">
        <f t="shared" si="237"/>
        <v>95321373</v>
      </c>
      <c r="X439" s="62">
        <f t="shared" si="235"/>
        <v>2061061</v>
      </c>
      <c r="Y439" s="62">
        <f t="shared" si="238"/>
        <v>133816920</v>
      </c>
      <c r="Z439" s="62">
        <f t="shared" si="239"/>
        <v>0</v>
      </c>
    </row>
    <row r="442" spans="1:26" customFormat="1" x14ac:dyDescent="0.25">
      <c r="A442" s="1"/>
      <c r="B442" s="1"/>
      <c r="C442" s="2">
        <f>D442+E442+F442</f>
        <v>133816920</v>
      </c>
      <c r="D442" s="2">
        <f>D439+H439+L439</f>
        <v>36434486</v>
      </c>
      <c r="E442" s="2">
        <f t="shared" ref="E442:F442" si="241">E439+I439+M439</f>
        <v>95321373</v>
      </c>
      <c r="F442" s="2">
        <f t="shared" si="241"/>
        <v>2061061</v>
      </c>
      <c r="H442" s="64"/>
      <c r="I442" s="64"/>
      <c r="J442" s="64"/>
      <c r="K442" s="64"/>
      <c r="L442" s="64"/>
      <c r="M442" s="64"/>
      <c r="N442" s="64"/>
      <c r="O442" s="64"/>
      <c r="R442" s="60"/>
      <c r="S442" s="60"/>
      <c r="V442" s="60"/>
      <c r="W442" s="60"/>
      <c r="X442" s="60"/>
      <c r="Y442" s="60"/>
      <c r="Z442" s="60"/>
    </row>
    <row r="448" spans="1:26" customFormat="1" x14ac:dyDescent="0.25">
      <c r="A448" s="1"/>
      <c r="B448" s="1"/>
      <c r="C448" s="2">
        <v>0</v>
      </c>
      <c r="D448" s="2">
        <v>0</v>
      </c>
      <c r="E448" s="2">
        <v>0</v>
      </c>
      <c r="F448" s="2">
        <v>0</v>
      </c>
      <c r="G448" s="2">
        <v>0</v>
      </c>
      <c r="H448" s="2">
        <v>0</v>
      </c>
      <c r="I448" s="2">
        <v>0</v>
      </c>
      <c r="J448" s="2">
        <v>0</v>
      </c>
      <c r="K448" s="2">
        <v>0</v>
      </c>
      <c r="L448" s="2">
        <v>0</v>
      </c>
      <c r="M448" s="2">
        <v>0</v>
      </c>
      <c r="N448" s="2">
        <v>0</v>
      </c>
      <c r="O448" s="2">
        <v>0</v>
      </c>
      <c r="R448" s="60"/>
      <c r="S448" s="60"/>
      <c r="V448" s="60"/>
      <c r="W448" s="60"/>
      <c r="X448" s="60"/>
      <c r="Y448" s="60"/>
      <c r="Z448" s="60"/>
    </row>
  </sheetData>
  <mergeCells count="132">
    <mergeCell ref="A1:O1"/>
    <mergeCell ref="D3:O3"/>
    <mergeCell ref="D4:G4"/>
    <mergeCell ref="C3:C5"/>
    <mergeCell ref="A3:A5"/>
    <mergeCell ref="B3:B5"/>
    <mergeCell ref="H4:K4"/>
    <mergeCell ref="L4:O4"/>
    <mergeCell ref="A28:A30"/>
    <mergeCell ref="B28:B30"/>
    <mergeCell ref="C28:C30"/>
    <mergeCell ref="D28:O28"/>
    <mergeCell ref="D29:G29"/>
    <mergeCell ref="H29:K29"/>
    <mergeCell ref="L29:O29"/>
    <mergeCell ref="L53:O53"/>
    <mergeCell ref="A76:A78"/>
    <mergeCell ref="B76:B78"/>
    <mergeCell ref="C76:C78"/>
    <mergeCell ref="D76:O76"/>
    <mergeCell ref="D77:G77"/>
    <mergeCell ref="H77:K77"/>
    <mergeCell ref="L77:O77"/>
    <mergeCell ref="A100:A102"/>
    <mergeCell ref="B100:B102"/>
    <mergeCell ref="C100:C102"/>
    <mergeCell ref="D100:O100"/>
    <mergeCell ref="D101:G101"/>
    <mergeCell ref="H101:K101"/>
    <mergeCell ref="L101:O101"/>
    <mergeCell ref="A52:A54"/>
    <mergeCell ref="B52:B54"/>
    <mergeCell ref="C52:C54"/>
    <mergeCell ref="D52:O52"/>
    <mergeCell ref="D53:G53"/>
    <mergeCell ref="H53:K53"/>
    <mergeCell ref="A124:A126"/>
    <mergeCell ref="B124:B126"/>
    <mergeCell ref="C124:C126"/>
    <mergeCell ref="D124:O124"/>
    <mergeCell ref="D125:G125"/>
    <mergeCell ref="H125:K125"/>
    <mergeCell ref="L125:O125"/>
    <mergeCell ref="A148:A150"/>
    <mergeCell ref="B148:B150"/>
    <mergeCell ref="C148:C150"/>
    <mergeCell ref="D148:O148"/>
    <mergeCell ref="D149:G149"/>
    <mergeCell ref="H149:K149"/>
    <mergeCell ref="L149:O149"/>
    <mergeCell ref="A172:A174"/>
    <mergeCell ref="B172:B174"/>
    <mergeCell ref="C172:C174"/>
    <mergeCell ref="D172:O172"/>
    <mergeCell ref="D173:G173"/>
    <mergeCell ref="H173:K173"/>
    <mergeCell ref="L173:O173"/>
    <mergeCell ref="A196:A198"/>
    <mergeCell ref="B196:B198"/>
    <mergeCell ref="C196:C198"/>
    <mergeCell ref="D196:O196"/>
    <mergeCell ref="D197:G197"/>
    <mergeCell ref="H197:K197"/>
    <mergeCell ref="L197:O197"/>
    <mergeCell ref="A220:A222"/>
    <mergeCell ref="B220:B222"/>
    <mergeCell ref="C220:C222"/>
    <mergeCell ref="D220:O220"/>
    <mergeCell ref="D221:G221"/>
    <mergeCell ref="H221:K221"/>
    <mergeCell ref="L221:O221"/>
    <mergeCell ref="A245:A247"/>
    <mergeCell ref="B245:B247"/>
    <mergeCell ref="C245:C247"/>
    <mergeCell ref="D245:O245"/>
    <mergeCell ref="D246:G246"/>
    <mergeCell ref="H246:K246"/>
    <mergeCell ref="L246:O246"/>
    <mergeCell ref="A244:O244"/>
    <mergeCell ref="A269:A271"/>
    <mergeCell ref="B269:B271"/>
    <mergeCell ref="C269:C271"/>
    <mergeCell ref="D269:O269"/>
    <mergeCell ref="D270:G270"/>
    <mergeCell ref="H270:K270"/>
    <mergeCell ref="L270:O270"/>
    <mergeCell ref="A294:A296"/>
    <mergeCell ref="B294:B296"/>
    <mergeCell ref="C294:C296"/>
    <mergeCell ref="D294:O294"/>
    <mergeCell ref="D295:G295"/>
    <mergeCell ref="H295:K295"/>
    <mergeCell ref="L295:O295"/>
    <mergeCell ref="A293:O293"/>
    <mergeCell ref="A318:A320"/>
    <mergeCell ref="B318:B320"/>
    <mergeCell ref="C318:C320"/>
    <mergeCell ref="D318:O318"/>
    <mergeCell ref="D319:G319"/>
    <mergeCell ref="H319:K319"/>
    <mergeCell ref="L319:O319"/>
    <mergeCell ref="A343:A345"/>
    <mergeCell ref="B343:B345"/>
    <mergeCell ref="C343:C345"/>
    <mergeCell ref="D343:O343"/>
    <mergeCell ref="D344:G344"/>
    <mergeCell ref="H344:K344"/>
    <mergeCell ref="L344:O344"/>
    <mergeCell ref="A342:O342"/>
    <mergeCell ref="A417:A419"/>
    <mergeCell ref="B417:B419"/>
    <mergeCell ref="C417:C419"/>
    <mergeCell ref="D417:O417"/>
    <mergeCell ref="D418:G418"/>
    <mergeCell ref="H418:K418"/>
    <mergeCell ref="L418:O418"/>
    <mergeCell ref="A416:O416"/>
    <mergeCell ref="A367:A369"/>
    <mergeCell ref="B367:B369"/>
    <mergeCell ref="C367:C369"/>
    <mergeCell ref="D367:O367"/>
    <mergeCell ref="D368:G368"/>
    <mergeCell ref="H368:K368"/>
    <mergeCell ref="L368:O368"/>
    <mergeCell ref="A391:O391"/>
    <mergeCell ref="A392:A394"/>
    <mergeCell ref="B392:B394"/>
    <mergeCell ref="C392:C394"/>
    <mergeCell ref="D392:O392"/>
    <mergeCell ref="D393:G393"/>
    <mergeCell ref="H393:K393"/>
    <mergeCell ref="L393:O393"/>
  </mergeCells>
  <pageMargins left="0.16" right="0.16" top="0.36" bottom="0.17" header="0.19" footer="0.16"/>
  <pageSetup paperSize="9" scale="12" orientation="landscape" horizont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33"/>
    <pageSetUpPr fitToPage="1"/>
  </sheetPr>
  <dimension ref="A1:AH446"/>
  <sheetViews>
    <sheetView zoomScale="90" zoomScaleNormal="90" workbookViewId="0">
      <selection activeCell="E160" sqref="E160"/>
    </sheetView>
  </sheetViews>
  <sheetFormatPr defaultRowHeight="15.75" x14ac:dyDescent="0.25"/>
  <cols>
    <col min="1" max="1" width="4" style="1" customWidth="1"/>
    <col min="2" max="2" width="30.5703125" style="1" customWidth="1"/>
    <col min="3" max="3" width="16.42578125" customWidth="1"/>
    <col min="4" max="4" width="18.140625" customWidth="1"/>
    <col min="5" max="5" width="15" customWidth="1"/>
    <col min="6" max="6" width="14.42578125" customWidth="1"/>
    <col min="7" max="7" width="15.42578125" customWidth="1"/>
    <col min="8" max="8" width="18.85546875" style="64" customWidth="1"/>
    <col min="9" max="9" width="15.28515625" style="64" customWidth="1"/>
    <col min="10" max="10" width="12.85546875" style="64" customWidth="1"/>
    <col min="11" max="11" width="15.42578125" style="64" customWidth="1"/>
    <col min="12" max="12" width="17.7109375" style="64" customWidth="1"/>
    <col min="13" max="13" width="15.42578125" style="64" customWidth="1"/>
    <col min="14" max="14" width="13.140625" style="64" customWidth="1"/>
    <col min="15" max="15" width="15.85546875" style="64" customWidth="1"/>
    <col min="16" max="16" width="0.85546875" customWidth="1"/>
    <col min="17" max="17" width="2" hidden="1" customWidth="1"/>
    <col min="18" max="18" width="18.140625" style="60" customWidth="1"/>
    <col min="19" max="19" width="14.5703125" style="60" customWidth="1"/>
    <col min="20" max="20" width="3.85546875" customWidth="1"/>
    <col min="21" max="21" width="0" hidden="1" customWidth="1"/>
    <col min="22" max="22" width="14.140625" style="60" bestFit="1" customWidth="1"/>
    <col min="23" max="23" width="16.28515625" style="60" bestFit="1" customWidth="1"/>
    <col min="24" max="24" width="14.42578125" style="60" customWidth="1"/>
    <col min="25" max="25" width="15.85546875" style="60" customWidth="1"/>
    <col min="26" max="26" width="15" style="60" bestFit="1" customWidth="1"/>
    <col min="29" max="29" width="13.140625" style="97" bestFit="1" customWidth="1"/>
    <col min="30" max="30" width="15" style="97" customWidth="1"/>
    <col min="31" max="31" width="11.5703125" style="97" customWidth="1"/>
    <col min="32" max="32" width="14.5703125" style="97" customWidth="1"/>
    <col min="33" max="33" width="9.140625" style="92"/>
    <col min="34" max="34" width="15" style="97" customWidth="1"/>
  </cols>
  <sheetData>
    <row r="1" spans="1:34" x14ac:dyDescent="0.25">
      <c r="A1" s="161" t="s">
        <v>94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</row>
    <row r="2" spans="1:34" x14ac:dyDescent="0.25">
      <c r="A2" s="5"/>
    </row>
    <row r="3" spans="1:34" s="4" customFormat="1" ht="28.5" customHeight="1" x14ac:dyDescent="0.25">
      <c r="A3" s="152" t="s">
        <v>17</v>
      </c>
      <c r="B3" s="152" t="s">
        <v>33</v>
      </c>
      <c r="C3" s="152" t="s">
        <v>35</v>
      </c>
      <c r="D3" s="152" t="s">
        <v>69</v>
      </c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R3" s="61"/>
      <c r="S3" s="61"/>
      <c r="V3" s="61"/>
      <c r="W3" s="61"/>
      <c r="X3" s="61"/>
      <c r="Y3" s="61"/>
      <c r="Z3" s="61"/>
      <c r="AC3" s="95"/>
      <c r="AD3" s="95"/>
      <c r="AE3" s="95"/>
      <c r="AF3" s="95"/>
      <c r="AG3" s="93"/>
      <c r="AH3" s="95"/>
    </row>
    <row r="4" spans="1:34" s="4" customFormat="1" ht="41.25" customHeight="1" x14ac:dyDescent="0.25">
      <c r="A4" s="152"/>
      <c r="B4" s="152"/>
      <c r="C4" s="152"/>
      <c r="D4" s="154" t="s">
        <v>36</v>
      </c>
      <c r="E4" s="154"/>
      <c r="F4" s="154"/>
      <c r="G4" s="154"/>
      <c r="H4" s="155" t="s">
        <v>37</v>
      </c>
      <c r="I4" s="156"/>
      <c r="J4" s="156"/>
      <c r="K4" s="157"/>
      <c r="L4" s="155" t="s">
        <v>38</v>
      </c>
      <c r="M4" s="156"/>
      <c r="N4" s="156"/>
      <c r="O4" s="157"/>
      <c r="R4" s="61"/>
      <c r="S4" s="61"/>
      <c r="V4" s="61"/>
      <c r="W4" s="61"/>
      <c r="X4" s="61"/>
      <c r="Y4" s="61"/>
      <c r="Z4" s="61"/>
      <c r="AC4" s="95"/>
      <c r="AD4" s="95"/>
      <c r="AE4" s="95"/>
      <c r="AF4" s="95"/>
      <c r="AG4" s="93"/>
      <c r="AH4" s="95"/>
    </row>
    <row r="5" spans="1:34" s="4" customFormat="1" ht="59.25" customHeight="1" x14ac:dyDescent="0.25">
      <c r="A5" s="152"/>
      <c r="B5" s="152"/>
      <c r="C5" s="152"/>
      <c r="D5" s="83" t="s">
        <v>66</v>
      </c>
      <c r="E5" s="83" t="s">
        <v>67</v>
      </c>
      <c r="F5" s="83" t="s">
        <v>68</v>
      </c>
      <c r="G5" s="83" t="s">
        <v>70</v>
      </c>
      <c r="H5" s="65" t="s">
        <v>66</v>
      </c>
      <c r="I5" s="65" t="s">
        <v>67</v>
      </c>
      <c r="J5" s="65" t="s">
        <v>68</v>
      </c>
      <c r="K5" s="65" t="s">
        <v>71</v>
      </c>
      <c r="L5" s="65" t="s">
        <v>66</v>
      </c>
      <c r="M5" s="65" t="s">
        <v>67</v>
      </c>
      <c r="N5" s="65" t="s">
        <v>68</v>
      </c>
      <c r="O5" s="65" t="s">
        <v>72</v>
      </c>
      <c r="R5" s="61"/>
      <c r="S5" s="61"/>
      <c r="V5" s="61"/>
      <c r="W5" s="61"/>
      <c r="X5" s="61"/>
      <c r="Y5" s="61"/>
      <c r="Z5" s="61"/>
      <c r="AC5" s="95"/>
      <c r="AD5" s="95"/>
      <c r="AE5" s="95"/>
      <c r="AF5" s="95"/>
      <c r="AG5" s="93"/>
      <c r="AH5" s="95"/>
    </row>
    <row r="6" spans="1:34" s="3" customFormat="1" ht="14.25" customHeight="1" x14ac:dyDescent="0.25">
      <c r="A6" s="53">
        <v>1</v>
      </c>
      <c r="B6" s="53">
        <v>2</v>
      </c>
      <c r="C6" s="53">
        <v>3</v>
      </c>
      <c r="D6" s="53">
        <v>4</v>
      </c>
      <c r="E6" s="53">
        <v>5</v>
      </c>
      <c r="F6" s="53">
        <v>6</v>
      </c>
      <c r="G6" s="53">
        <v>7</v>
      </c>
      <c r="H6" s="66">
        <v>8</v>
      </c>
      <c r="I6" s="66">
        <v>9</v>
      </c>
      <c r="J6" s="66">
        <v>10</v>
      </c>
      <c r="K6" s="66">
        <v>11</v>
      </c>
      <c r="L6" s="66">
        <v>12</v>
      </c>
      <c r="M6" s="66">
        <v>13</v>
      </c>
      <c r="N6" s="66">
        <v>14</v>
      </c>
      <c r="O6" s="66">
        <v>15</v>
      </c>
      <c r="R6" s="61"/>
      <c r="S6" s="61"/>
      <c r="V6" s="61"/>
      <c r="W6" s="61"/>
      <c r="X6" s="61"/>
      <c r="Y6" s="61"/>
      <c r="Z6" s="61"/>
      <c r="AC6" s="95"/>
      <c r="AD6" s="95"/>
      <c r="AE6" s="95"/>
      <c r="AF6" s="95"/>
      <c r="AG6" s="94"/>
      <c r="AH6" s="95"/>
    </row>
    <row r="7" spans="1:34" s="3" customFormat="1" ht="25.5" customHeight="1" x14ac:dyDescent="0.25">
      <c r="A7" s="53" t="s">
        <v>16</v>
      </c>
      <c r="B7" s="54" t="s">
        <v>15</v>
      </c>
      <c r="C7" s="55">
        <v>4314741</v>
      </c>
      <c r="D7" s="55">
        <v>127106</v>
      </c>
      <c r="E7" s="55">
        <v>546123</v>
      </c>
      <c r="F7" s="55">
        <v>0</v>
      </c>
      <c r="G7" s="55">
        <f>D7+E7+F7</f>
        <v>673229</v>
      </c>
      <c r="H7" s="63">
        <v>535957</v>
      </c>
      <c r="I7" s="63">
        <v>2302797</v>
      </c>
      <c r="J7" s="63">
        <v>0</v>
      </c>
      <c r="K7" s="63">
        <f>H7+I7+J7</f>
        <v>2838754</v>
      </c>
      <c r="L7" s="63">
        <v>151561</v>
      </c>
      <c r="M7" s="63">
        <v>651197</v>
      </c>
      <c r="N7" s="63">
        <v>0</v>
      </c>
      <c r="O7" s="63">
        <f>L7+M7+N7</f>
        <v>802758</v>
      </c>
      <c r="R7" s="62">
        <f>G7+K7+O7</f>
        <v>4314741</v>
      </c>
      <c r="S7" s="62">
        <f>R7-C7</f>
        <v>0</v>
      </c>
      <c r="V7" s="61"/>
      <c r="W7" s="61"/>
      <c r="X7" s="61"/>
      <c r="Y7" s="61"/>
      <c r="Z7" s="61"/>
      <c r="AC7" s="95"/>
      <c r="AD7" s="95"/>
      <c r="AE7" s="95"/>
      <c r="AF7" s="95"/>
      <c r="AG7" s="94"/>
      <c r="AH7" s="95"/>
    </row>
    <row r="8" spans="1:34" ht="40.5" customHeight="1" x14ac:dyDescent="0.25">
      <c r="A8" s="56" t="s">
        <v>24</v>
      </c>
      <c r="B8" s="54" t="s">
        <v>14</v>
      </c>
      <c r="C8" s="55">
        <v>309054</v>
      </c>
      <c r="D8" s="55">
        <v>36325</v>
      </c>
      <c r="E8" s="55">
        <v>26859</v>
      </c>
      <c r="F8" s="55">
        <v>858</v>
      </c>
      <c r="G8" s="55">
        <f t="shared" ref="G8:G24" si="0">D8+E8+F8</f>
        <v>64042</v>
      </c>
      <c r="H8" s="63">
        <v>106752</v>
      </c>
      <c r="I8" s="63">
        <v>78934</v>
      </c>
      <c r="J8" s="63">
        <v>2522</v>
      </c>
      <c r="K8" s="63">
        <f t="shared" ref="K8:K24" si="1">H8+I8+J8</f>
        <v>188208</v>
      </c>
      <c r="L8" s="63">
        <v>32219</v>
      </c>
      <c r="M8" s="63">
        <v>23824</v>
      </c>
      <c r="N8" s="63">
        <v>761</v>
      </c>
      <c r="O8" s="63">
        <f t="shared" ref="O8:O24" si="2">L8+M8+N8</f>
        <v>56804</v>
      </c>
      <c r="R8" s="62">
        <f t="shared" ref="R8:R25" si="3">G8+K8+O8</f>
        <v>309054</v>
      </c>
      <c r="S8" s="62">
        <f t="shared" ref="S8:S25" si="4">R8-C8</f>
        <v>0</v>
      </c>
    </row>
    <row r="9" spans="1:34" ht="34.5" customHeight="1" x14ac:dyDescent="0.25">
      <c r="A9" s="56" t="s">
        <v>23</v>
      </c>
      <c r="B9" s="54" t="s">
        <v>13</v>
      </c>
      <c r="C9" s="55">
        <v>2295265</v>
      </c>
      <c r="D9" s="55">
        <v>0</v>
      </c>
      <c r="E9" s="55">
        <v>130096</v>
      </c>
      <c r="F9" s="55">
        <v>0</v>
      </c>
      <c r="G9" s="55">
        <f t="shared" si="0"/>
        <v>130096</v>
      </c>
      <c r="H9" s="63">
        <v>0</v>
      </c>
      <c r="I9" s="63">
        <v>1928367</v>
      </c>
      <c r="J9" s="63">
        <v>0</v>
      </c>
      <c r="K9" s="63">
        <f t="shared" si="1"/>
        <v>1928367</v>
      </c>
      <c r="L9" s="63">
        <v>0</v>
      </c>
      <c r="M9" s="63">
        <v>236802</v>
      </c>
      <c r="N9" s="63">
        <v>0</v>
      </c>
      <c r="O9" s="63">
        <f t="shared" si="2"/>
        <v>236802</v>
      </c>
      <c r="R9" s="62">
        <f t="shared" si="3"/>
        <v>2295265</v>
      </c>
      <c r="S9" s="62">
        <f t="shared" si="4"/>
        <v>0</v>
      </c>
    </row>
    <row r="10" spans="1:34" ht="40.5" customHeight="1" x14ac:dyDescent="0.25">
      <c r="A10" s="56" t="s">
        <v>22</v>
      </c>
      <c r="B10" s="54" t="s">
        <v>12</v>
      </c>
      <c r="C10" s="55">
        <v>168181</v>
      </c>
      <c r="D10" s="55">
        <v>19346</v>
      </c>
      <c r="E10" s="55">
        <v>0</v>
      </c>
      <c r="F10" s="55">
        <v>0</v>
      </c>
      <c r="G10" s="55">
        <f t="shared" si="0"/>
        <v>19346</v>
      </c>
      <c r="H10" s="63">
        <v>125819</v>
      </c>
      <c r="I10" s="63">
        <v>0</v>
      </c>
      <c r="J10" s="63">
        <v>0</v>
      </c>
      <c r="K10" s="63">
        <f t="shared" si="1"/>
        <v>125819</v>
      </c>
      <c r="L10" s="63">
        <v>23016</v>
      </c>
      <c r="M10" s="63">
        <v>0</v>
      </c>
      <c r="N10" s="63">
        <v>0</v>
      </c>
      <c r="O10" s="63">
        <f t="shared" si="2"/>
        <v>23016</v>
      </c>
      <c r="R10" s="62">
        <f t="shared" si="3"/>
        <v>168181</v>
      </c>
      <c r="S10" s="62">
        <f t="shared" si="4"/>
        <v>0</v>
      </c>
    </row>
    <row r="11" spans="1:34" ht="39.75" customHeight="1" x14ac:dyDescent="0.25">
      <c r="A11" s="56" t="s">
        <v>21</v>
      </c>
      <c r="B11" s="54" t="s">
        <v>11</v>
      </c>
      <c r="C11" s="55">
        <v>180277</v>
      </c>
      <c r="D11" s="55">
        <v>7025</v>
      </c>
      <c r="E11" s="55">
        <v>11176</v>
      </c>
      <c r="F11" s="55">
        <v>4847</v>
      </c>
      <c r="G11" s="55">
        <f t="shared" si="0"/>
        <v>23048</v>
      </c>
      <c r="H11" s="63">
        <v>37267</v>
      </c>
      <c r="I11" s="63">
        <v>59287</v>
      </c>
      <c r="J11" s="63">
        <v>25712</v>
      </c>
      <c r="K11" s="63">
        <f t="shared" si="1"/>
        <v>122266</v>
      </c>
      <c r="L11" s="63">
        <v>10657</v>
      </c>
      <c r="M11" s="63">
        <v>16953</v>
      </c>
      <c r="N11" s="63">
        <v>7353</v>
      </c>
      <c r="O11" s="63">
        <f t="shared" si="2"/>
        <v>34963</v>
      </c>
      <c r="R11" s="62">
        <f t="shared" si="3"/>
        <v>180277</v>
      </c>
      <c r="S11" s="62">
        <f t="shared" si="4"/>
        <v>0</v>
      </c>
    </row>
    <row r="12" spans="1:34" ht="28.5" customHeight="1" x14ac:dyDescent="0.25">
      <c r="A12" s="56" t="s">
        <v>20</v>
      </c>
      <c r="B12" s="54" t="s">
        <v>34</v>
      </c>
      <c r="C12" s="55">
        <v>336047</v>
      </c>
      <c r="D12" s="55">
        <v>62901</v>
      </c>
      <c r="E12" s="55">
        <v>0</v>
      </c>
      <c r="F12" s="55">
        <v>0</v>
      </c>
      <c r="G12" s="55">
        <f t="shared" si="0"/>
        <v>62901</v>
      </c>
      <c r="H12" s="63">
        <v>205315</v>
      </c>
      <c r="I12" s="63">
        <v>0</v>
      </c>
      <c r="J12" s="63">
        <v>0</v>
      </c>
      <c r="K12" s="63">
        <f t="shared" si="1"/>
        <v>205315</v>
      </c>
      <c r="L12" s="63">
        <v>67831</v>
      </c>
      <c r="M12" s="63">
        <v>0</v>
      </c>
      <c r="N12" s="63">
        <v>0</v>
      </c>
      <c r="O12" s="63">
        <f t="shared" si="2"/>
        <v>67831</v>
      </c>
      <c r="R12" s="62">
        <f t="shared" si="3"/>
        <v>336047</v>
      </c>
      <c r="S12" s="62">
        <f t="shared" si="4"/>
        <v>0</v>
      </c>
    </row>
    <row r="13" spans="1:34" ht="34.5" customHeight="1" x14ac:dyDescent="0.25">
      <c r="A13" s="56" t="s">
        <v>19</v>
      </c>
      <c r="B13" s="54" t="s">
        <v>10</v>
      </c>
      <c r="C13" s="55">
        <v>1356259</v>
      </c>
      <c r="D13" s="55">
        <v>29466</v>
      </c>
      <c r="E13" s="55">
        <v>38540</v>
      </c>
      <c r="F13" s="55">
        <v>1801</v>
      </c>
      <c r="G13" s="55">
        <f t="shared" si="0"/>
        <v>69807</v>
      </c>
      <c r="H13" s="63">
        <v>458279</v>
      </c>
      <c r="I13" s="63">
        <v>599422</v>
      </c>
      <c r="J13" s="63">
        <v>28011</v>
      </c>
      <c r="K13" s="63">
        <f t="shared" si="1"/>
        <v>1085712</v>
      </c>
      <c r="L13" s="63">
        <v>84732</v>
      </c>
      <c r="M13" s="63">
        <v>110829</v>
      </c>
      <c r="N13" s="63">
        <v>5179</v>
      </c>
      <c r="O13" s="63">
        <f t="shared" si="2"/>
        <v>200740</v>
      </c>
      <c r="R13" s="62">
        <f t="shared" si="3"/>
        <v>1356259</v>
      </c>
      <c r="S13" s="62">
        <f t="shared" si="4"/>
        <v>0</v>
      </c>
    </row>
    <row r="14" spans="1:34" ht="25.5" customHeight="1" x14ac:dyDescent="0.25">
      <c r="A14" s="56" t="s">
        <v>18</v>
      </c>
      <c r="B14" s="54" t="s">
        <v>9</v>
      </c>
      <c r="C14" s="55">
        <v>1037979</v>
      </c>
      <c r="D14" s="55">
        <v>93103</v>
      </c>
      <c r="E14" s="55">
        <v>153230</v>
      </c>
      <c r="F14" s="55">
        <v>3675</v>
      </c>
      <c r="G14" s="55">
        <f t="shared" si="0"/>
        <v>250008</v>
      </c>
      <c r="H14" s="63">
        <v>290912</v>
      </c>
      <c r="I14" s="63">
        <v>478787</v>
      </c>
      <c r="J14" s="63">
        <v>11483</v>
      </c>
      <c r="K14" s="63">
        <f t="shared" si="1"/>
        <v>781182</v>
      </c>
      <c r="L14" s="63">
        <v>2528</v>
      </c>
      <c r="M14" s="63">
        <v>4161</v>
      </c>
      <c r="N14" s="63">
        <v>100</v>
      </c>
      <c r="O14" s="63">
        <f t="shared" si="2"/>
        <v>6789</v>
      </c>
      <c r="R14" s="62">
        <f t="shared" si="3"/>
        <v>1037979</v>
      </c>
      <c r="S14" s="62">
        <f t="shared" si="4"/>
        <v>0</v>
      </c>
    </row>
    <row r="15" spans="1:34" ht="25.5" customHeight="1" x14ac:dyDescent="0.25">
      <c r="A15" s="56" t="s">
        <v>25</v>
      </c>
      <c r="B15" s="54" t="s">
        <v>8</v>
      </c>
      <c r="C15" s="55">
        <v>1719749</v>
      </c>
      <c r="D15" s="55">
        <v>12886</v>
      </c>
      <c r="E15" s="55">
        <v>55044</v>
      </c>
      <c r="F15" s="55">
        <v>0</v>
      </c>
      <c r="G15" s="55">
        <f t="shared" si="0"/>
        <v>67930</v>
      </c>
      <c r="H15" s="63">
        <v>209144</v>
      </c>
      <c r="I15" s="63">
        <v>893353</v>
      </c>
      <c r="J15" s="63">
        <v>0</v>
      </c>
      <c r="K15" s="63">
        <f t="shared" si="1"/>
        <v>1102497</v>
      </c>
      <c r="L15" s="63">
        <v>104206</v>
      </c>
      <c r="M15" s="63">
        <v>445116</v>
      </c>
      <c r="N15" s="63">
        <v>0</v>
      </c>
      <c r="O15" s="63">
        <f t="shared" si="2"/>
        <v>549322</v>
      </c>
      <c r="R15" s="62">
        <f t="shared" si="3"/>
        <v>1719749</v>
      </c>
      <c r="S15" s="62">
        <f t="shared" si="4"/>
        <v>0</v>
      </c>
    </row>
    <row r="16" spans="1:34" ht="25.5" customHeight="1" x14ac:dyDescent="0.25">
      <c r="A16" s="56" t="s">
        <v>26</v>
      </c>
      <c r="B16" s="54" t="s">
        <v>7</v>
      </c>
      <c r="C16" s="55">
        <v>1042162</v>
      </c>
      <c r="D16" s="55">
        <v>2275</v>
      </c>
      <c r="E16" s="55">
        <v>16765</v>
      </c>
      <c r="F16" s="55">
        <v>0</v>
      </c>
      <c r="G16" s="55">
        <f t="shared" si="0"/>
        <v>19040</v>
      </c>
      <c r="H16" s="63">
        <v>111161</v>
      </c>
      <c r="I16" s="63">
        <v>819052</v>
      </c>
      <c r="J16" s="63">
        <v>0</v>
      </c>
      <c r="K16" s="63">
        <f t="shared" si="1"/>
        <v>930213</v>
      </c>
      <c r="L16" s="63">
        <v>11103</v>
      </c>
      <c r="M16" s="63">
        <v>81806</v>
      </c>
      <c r="N16" s="63">
        <v>0</v>
      </c>
      <c r="O16" s="63">
        <f t="shared" si="2"/>
        <v>92909</v>
      </c>
      <c r="R16" s="62">
        <f t="shared" si="3"/>
        <v>1042162</v>
      </c>
      <c r="S16" s="62">
        <f t="shared" si="4"/>
        <v>0</v>
      </c>
    </row>
    <row r="17" spans="1:34" ht="25.5" customHeight="1" x14ac:dyDescent="0.25">
      <c r="A17" s="56" t="s">
        <v>27</v>
      </c>
      <c r="B17" s="54" t="s">
        <v>6</v>
      </c>
      <c r="C17" s="55">
        <v>839591</v>
      </c>
      <c r="D17" s="55">
        <v>3517</v>
      </c>
      <c r="E17" s="55">
        <v>2240</v>
      </c>
      <c r="F17" s="55">
        <v>94</v>
      </c>
      <c r="G17" s="55">
        <f t="shared" si="0"/>
        <v>5851</v>
      </c>
      <c r="H17" s="63">
        <v>500321</v>
      </c>
      <c r="I17" s="63">
        <v>318757</v>
      </c>
      <c r="J17" s="63">
        <v>13403</v>
      </c>
      <c r="K17" s="63">
        <f t="shared" si="1"/>
        <v>832481</v>
      </c>
      <c r="L17" s="63">
        <v>757</v>
      </c>
      <c r="M17" s="63">
        <v>482</v>
      </c>
      <c r="N17" s="63">
        <v>20</v>
      </c>
      <c r="O17" s="63">
        <f t="shared" si="2"/>
        <v>1259</v>
      </c>
      <c r="R17" s="62">
        <f t="shared" si="3"/>
        <v>839591</v>
      </c>
      <c r="S17" s="62">
        <f t="shared" si="4"/>
        <v>0</v>
      </c>
    </row>
    <row r="18" spans="1:34" ht="25.5" customHeight="1" x14ac:dyDescent="0.25">
      <c r="A18" s="56" t="s">
        <v>28</v>
      </c>
      <c r="B18" s="54" t="s">
        <v>5</v>
      </c>
      <c r="C18" s="55">
        <v>728498</v>
      </c>
      <c r="D18" s="55">
        <v>20924</v>
      </c>
      <c r="E18" s="55">
        <v>74986</v>
      </c>
      <c r="F18" s="55">
        <v>4878</v>
      </c>
      <c r="G18" s="55">
        <f t="shared" si="0"/>
        <v>100788</v>
      </c>
      <c r="H18" s="63">
        <v>129044</v>
      </c>
      <c r="I18" s="63">
        <v>462469</v>
      </c>
      <c r="J18" s="63">
        <v>30085</v>
      </c>
      <c r="K18" s="63">
        <f t="shared" si="1"/>
        <v>621598</v>
      </c>
      <c r="L18" s="63">
        <v>1269</v>
      </c>
      <c r="M18" s="63">
        <v>4547</v>
      </c>
      <c r="N18" s="63">
        <v>296</v>
      </c>
      <c r="O18" s="63">
        <f t="shared" si="2"/>
        <v>6112</v>
      </c>
      <c r="R18" s="62">
        <f t="shared" si="3"/>
        <v>728498</v>
      </c>
      <c r="S18" s="62">
        <f t="shared" si="4"/>
        <v>0</v>
      </c>
    </row>
    <row r="19" spans="1:34" ht="25.5" customHeight="1" x14ac:dyDescent="0.25">
      <c r="A19" s="56" t="s">
        <v>29</v>
      </c>
      <c r="B19" s="54" t="s">
        <v>4</v>
      </c>
      <c r="C19" s="55">
        <v>711822</v>
      </c>
      <c r="D19" s="55">
        <v>13803</v>
      </c>
      <c r="E19" s="55">
        <v>23257</v>
      </c>
      <c r="F19" s="55">
        <v>966</v>
      </c>
      <c r="G19" s="55">
        <f t="shared" si="0"/>
        <v>38026</v>
      </c>
      <c r="H19" s="63">
        <v>236508</v>
      </c>
      <c r="I19" s="63">
        <v>398480</v>
      </c>
      <c r="J19" s="63">
        <v>16549</v>
      </c>
      <c r="K19" s="63">
        <f t="shared" si="1"/>
        <v>651537</v>
      </c>
      <c r="L19" s="63">
        <v>8080</v>
      </c>
      <c r="M19" s="63">
        <v>13613</v>
      </c>
      <c r="N19" s="63">
        <v>566</v>
      </c>
      <c r="O19" s="63">
        <f t="shared" si="2"/>
        <v>22259</v>
      </c>
      <c r="R19" s="62">
        <f t="shared" si="3"/>
        <v>711822</v>
      </c>
      <c r="S19" s="62">
        <f t="shared" si="4"/>
        <v>0</v>
      </c>
    </row>
    <row r="20" spans="1:34" ht="25.5" customHeight="1" x14ac:dyDescent="0.25">
      <c r="A20" s="56">
        <v>14</v>
      </c>
      <c r="B20" s="54" t="s">
        <v>3</v>
      </c>
      <c r="C20" s="55">
        <v>913731</v>
      </c>
      <c r="D20" s="55">
        <v>43796</v>
      </c>
      <c r="E20" s="55">
        <v>21561</v>
      </c>
      <c r="F20" s="55">
        <v>2022</v>
      </c>
      <c r="G20" s="55">
        <f t="shared" si="0"/>
        <v>67379</v>
      </c>
      <c r="H20" s="63">
        <v>489335</v>
      </c>
      <c r="I20" s="63">
        <v>240903</v>
      </c>
      <c r="J20" s="63">
        <v>22585</v>
      </c>
      <c r="K20" s="63">
        <f t="shared" si="1"/>
        <v>752823</v>
      </c>
      <c r="L20" s="63">
        <v>60794</v>
      </c>
      <c r="M20" s="63">
        <v>29929</v>
      </c>
      <c r="N20" s="63">
        <v>2806</v>
      </c>
      <c r="O20" s="63">
        <f t="shared" si="2"/>
        <v>93529</v>
      </c>
      <c r="R20" s="62">
        <f t="shared" si="3"/>
        <v>913731</v>
      </c>
      <c r="S20" s="62">
        <f t="shared" si="4"/>
        <v>0</v>
      </c>
    </row>
    <row r="21" spans="1:34" ht="54" customHeight="1" x14ac:dyDescent="0.25">
      <c r="A21" s="56" t="s">
        <v>30</v>
      </c>
      <c r="B21" s="54" t="s">
        <v>2</v>
      </c>
      <c r="C21" s="55">
        <v>122863</v>
      </c>
      <c r="D21" s="55">
        <v>3479</v>
      </c>
      <c r="E21" s="55">
        <v>0</v>
      </c>
      <c r="F21" s="55">
        <v>0</v>
      </c>
      <c r="G21" s="55">
        <f t="shared" si="0"/>
        <v>3479</v>
      </c>
      <c r="H21" s="63">
        <v>102858</v>
      </c>
      <c r="I21" s="63">
        <v>0</v>
      </c>
      <c r="J21" s="63">
        <v>0</v>
      </c>
      <c r="K21" s="63">
        <f t="shared" si="1"/>
        <v>102858</v>
      </c>
      <c r="L21" s="63">
        <v>16526</v>
      </c>
      <c r="M21" s="63">
        <v>0</v>
      </c>
      <c r="N21" s="63">
        <v>0</v>
      </c>
      <c r="O21" s="63">
        <f t="shared" si="2"/>
        <v>16526</v>
      </c>
      <c r="R21" s="62">
        <f t="shared" si="3"/>
        <v>122863</v>
      </c>
      <c r="S21" s="62">
        <f t="shared" si="4"/>
        <v>0</v>
      </c>
    </row>
    <row r="22" spans="1:34" ht="39.75" customHeight="1" x14ac:dyDescent="0.25">
      <c r="A22" s="56" t="s">
        <v>31</v>
      </c>
      <c r="B22" s="54" t="s">
        <v>1</v>
      </c>
      <c r="C22" s="55">
        <v>98753</v>
      </c>
      <c r="D22" s="55">
        <v>7345</v>
      </c>
      <c r="E22" s="55">
        <v>0</v>
      </c>
      <c r="F22" s="55">
        <v>0</v>
      </c>
      <c r="G22" s="55">
        <f t="shared" si="0"/>
        <v>7345</v>
      </c>
      <c r="H22" s="63">
        <v>87424</v>
      </c>
      <c r="I22" s="63">
        <v>0</v>
      </c>
      <c r="J22" s="63">
        <v>0</v>
      </c>
      <c r="K22" s="63">
        <f t="shared" si="1"/>
        <v>87424</v>
      </c>
      <c r="L22" s="63">
        <v>3984</v>
      </c>
      <c r="M22" s="63">
        <v>0</v>
      </c>
      <c r="N22" s="63">
        <v>0</v>
      </c>
      <c r="O22" s="63">
        <f t="shared" si="2"/>
        <v>3984</v>
      </c>
      <c r="R22" s="62">
        <f t="shared" si="3"/>
        <v>98753</v>
      </c>
      <c r="S22" s="62">
        <f t="shared" si="4"/>
        <v>0</v>
      </c>
    </row>
    <row r="23" spans="1:34" ht="33" customHeight="1" x14ac:dyDescent="0.25">
      <c r="A23" s="56" t="s">
        <v>32</v>
      </c>
      <c r="B23" s="54" t="s">
        <v>73</v>
      </c>
      <c r="C23" s="55">
        <v>41245</v>
      </c>
      <c r="D23" s="55">
        <v>8112</v>
      </c>
      <c r="E23" s="55">
        <v>0</v>
      </c>
      <c r="F23" s="55">
        <v>0</v>
      </c>
      <c r="G23" s="55">
        <f t="shared" si="0"/>
        <v>8112</v>
      </c>
      <c r="H23" s="63">
        <v>26556</v>
      </c>
      <c r="I23" s="63">
        <v>0</v>
      </c>
      <c r="J23" s="63">
        <v>0</v>
      </c>
      <c r="K23" s="63">
        <f t="shared" si="1"/>
        <v>26556</v>
      </c>
      <c r="L23" s="63">
        <v>6577</v>
      </c>
      <c r="M23" s="63">
        <v>0</v>
      </c>
      <c r="N23" s="63">
        <v>0</v>
      </c>
      <c r="O23" s="63">
        <f t="shared" si="2"/>
        <v>6577</v>
      </c>
      <c r="R23" s="62">
        <f t="shared" si="3"/>
        <v>41245</v>
      </c>
      <c r="S23" s="62">
        <f t="shared" si="4"/>
        <v>0</v>
      </c>
    </row>
    <row r="24" spans="1:34" ht="33" customHeight="1" x14ac:dyDescent="0.25">
      <c r="A24" s="56" t="s">
        <v>90</v>
      </c>
      <c r="B24" s="70" t="s">
        <v>91</v>
      </c>
      <c r="C24" s="55">
        <f>E24+I24+M24</f>
        <v>0</v>
      </c>
      <c r="D24" s="55">
        <v>0</v>
      </c>
      <c r="E24" s="55">
        <v>0</v>
      </c>
      <c r="F24" s="55">
        <v>0</v>
      </c>
      <c r="G24" s="55">
        <f t="shared" si="0"/>
        <v>0</v>
      </c>
      <c r="H24" s="63">
        <v>0</v>
      </c>
      <c r="I24" s="63">
        <v>0</v>
      </c>
      <c r="J24" s="63">
        <v>0</v>
      </c>
      <c r="K24" s="63">
        <f t="shared" si="1"/>
        <v>0</v>
      </c>
      <c r="L24" s="63">
        <v>0</v>
      </c>
      <c r="M24" s="63">
        <v>0</v>
      </c>
      <c r="N24" s="63">
        <v>0</v>
      </c>
      <c r="O24" s="63">
        <f t="shared" si="2"/>
        <v>0</v>
      </c>
      <c r="R24" s="62">
        <f t="shared" si="3"/>
        <v>0</v>
      </c>
      <c r="S24" s="62">
        <f>R24-C24</f>
        <v>0</v>
      </c>
    </row>
    <row r="25" spans="1:34" ht="25.5" customHeight="1" x14ac:dyDescent="0.25">
      <c r="A25" s="57"/>
      <c r="B25" s="57" t="s">
        <v>0</v>
      </c>
      <c r="C25" s="58">
        <f>SUM(C7:C24)</f>
        <v>16216217</v>
      </c>
      <c r="D25" s="58">
        <f t="shared" ref="D25:O25" si="5">SUM(D7:D24)</f>
        <v>491409</v>
      </c>
      <c r="E25" s="58">
        <f t="shared" si="5"/>
        <v>1099877</v>
      </c>
      <c r="F25" s="58">
        <f t="shared" si="5"/>
        <v>19141</v>
      </c>
      <c r="G25" s="58">
        <f t="shared" si="5"/>
        <v>1610427</v>
      </c>
      <c r="H25" s="58">
        <f t="shared" si="5"/>
        <v>3652652</v>
      </c>
      <c r="I25" s="58">
        <f t="shared" si="5"/>
        <v>8580608</v>
      </c>
      <c r="J25" s="58">
        <f t="shared" si="5"/>
        <v>150350</v>
      </c>
      <c r="K25" s="58">
        <f t="shared" si="5"/>
        <v>12383610</v>
      </c>
      <c r="L25" s="58">
        <f t="shared" si="5"/>
        <v>585840</v>
      </c>
      <c r="M25" s="58">
        <f t="shared" si="5"/>
        <v>1619259</v>
      </c>
      <c r="N25" s="58">
        <f t="shared" si="5"/>
        <v>17081</v>
      </c>
      <c r="O25" s="58">
        <f t="shared" si="5"/>
        <v>2222180</v>
      </c>
      <c r="R25" s="62">
        <f t="shared" si="3"/>
        <v>16216217</v>
      </c>
      <c r="S25" s="62">
        <f t="shared" si="4"/>
        <v>0</v>
      </c>
    </row>
    <row r="28" spans="1:34" s="4" customFormat="1" ht="28.5" customHeight="1" x14ac:dyDescent="0.25">
      <c r="A28" s="152" t="s">
        <v>17</v>
      </c>
      <c r="B28" s="152" t="s">
        <v>33</v>
      </c>
      <c r="C28" s="152" t="s">
        <v>74</v>
      </c>
      <c r="D28" s="152" t="s">
        <v>69</v>
      </c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R28" s="61"/>
      <c r="S28" s="61"/>
      <c r="V28" s="61"/>
      <c r="W28" s="61"/>
      <c r="X28" s="61"/>
      <c r="Y28" s="61"/>
      <c r="Z28" s="61"/>
      <c r="AC28" s="95"/>
      <c r="AD28" s="95"/>
      <c r="AE28" s="95"/>
      <c r="AF28" s="95"/>
      <c r="AG28" s="93"/>
      <c r="AH28" s="95"/>
    </row>
    <row r="29" spans="1:34" s="4" customFormat="1" ht="41.25" customHeight="1" x14ac:dyDescent="0.25">
      <c r="A29" s="152"/>
      <c r="B29" s="152"/>
      <c r="C29" s="152"/>
      <c r="D29" s="154" t="s">
        <v>36</v>
      </c>
      <c r="E29" s="154"/>
      <c r="F29" s="154"/>
      <c r="G29" s="154"/>
      <c r="H29" s="155" t="s">
        <v>37</v>
      </c>
      <c r="I29" s="156"/>
      <c r="J29" s="156"/>
      <c r="K29" s="157"/>
      <c r="L29" s="155" t="s">
        <v>38</v>
      </c>
      <c r="M29" s="156"/>
      <c r="N29" s="156"/>
      <c r="O29" s="157"/>
      <c r="R29" s="61"/>
      <c r="S29" s="61"/>
      <c r="V29" s="61"/>
      <c r="W29" s="61"/>
      <c r="X29" s="61"/>
      <c r="Y29" s="61"/>
      <c r="Z29" s="61"/>
      <c r="AC29" s="95"/>
      <c r="AD29" s="95"/>
      <c r="AE29" s="95"/>
      <c r="AF29" s="95"/>
      <c r="AG29" s="93"/>
      <c r="AH29" s="95"/>
    </row>
    <row r="30" spans="1:34" s="4" customFormat="1" ht="59.25" customHeight="1" x14ac:dyDescent="0.25">
      <c r="A30" s="152"/>
      <c r="B30" s="152"/>
      <c r="C30" s="152"/>
      <c r="D30" s="83" t="s">
        <v>66</v>
      </c>
      <c r="E30" s="83" t="s">
        <v>67</v>
      </c>
      <c r="F30" s="83" t="s">
        <v>68</v>
      </c>
      <c r="G30" s="83" t="s">
        <v>70</v>
      </c>
      <c r="H30" s="65" t="s">
        <v>66</v>
      </c>
      <c r="I30" s="65" t="s">
        <v>67</v>
      </c>
      <c r="J30" s="65" t="s">
        <v>68</v>
      </c>
      <c r="K30" s="65" t="s">
        <v>71</v>
      </c>
      <c r="L30" s="65" t="s">
        <v>66</v>
      </c>
      <c r="M30" s="65" t="s">
        <v>67</v>
      </c>
      <c r="N30" s="65" t="s">
        <v>68</v>
      </c>
      <c r="O30" s="65" t="s">
        <v>72</v>
      </c>
      <c r="R30" s="61"/>
      <c r="S30" s="61"/>
      <c r="V30" s="61"/>
      <c r="W30" s="61"/>
      <c r="X30" s="61"/>
      <c r="Y30" s="61"/>
      <c r="Z30" s="61"/>
      <c r="AC30" s="95"/>
      <c r="AD30" s="95"/>
      <c r="AE30" s="95"/>
      <c r="AF30" s="95"/>
      <c r="AG30" s="93"/>
      <c r="AH30" s="95"/>
    </row>
    <row r="31" spans="1:34" s="3" customFormat="1" ht="14.25" customHeight="1" x14ac:dyDescent="0.25">
      <c r="A31" s="53">
        <v>1</v>
      </c>
      <c r="B31" s="53">
        <v>2</v>
      </c>
      <c r="C31" s="53">
        <v>3</v>
      </c>
      <c r="D31" s="53">
        <v>4</v>
      </c>
      <c r="E31" s="53">
        <v>5</v>
      </c>
      <c r="F31" s="53">
        <v>6</v>
      </c>
      <c r="G31" s="53">
        <v>7</v>
      </c>
      <c r="H31" s="66">
        <v>8</v>
      </c>
      <c r="I31" s="66">
        <v>9</v>
      </c>
      <c r="J31" s="66">
        <v>10</v>
      </c>
      <c r="K31" s="66">
        <v>11</v>
      </c>
      <c r="L31" s="66">
        <v>12</v>
      </c>
      <c r="M31" s="66">
        <v>13</v>
      </c>
      <c r="N31" s="66">
        <v>14</v>
      </c>
      <c r="O31" s="66">
        <v>15</v>
      </c>
      <c r="R31" s="61"/>
      <c r="S31" s="61"/>
      <c r="V31" s="61"/>
      <c r="W31" s="61"/>
      <c r="X31" s="61"/>
      <c r="Y31" s="61"/>
      <c r="Z31" s="61"/>
      <c r="AC31" s="95"/>
      <c r="AD31" s="95"/>
      <c r="AE31" s="95"/>
      <c r="AF31" s="95"/>
      <c r="AG31" s="94"/>
      <c r="AH31" s="95"/>
    </row>
    <row r="32" spans="1:34" s="3" customFormat="1" ht="25.5" customHeight="1" x14ac:dyDescent="0.25">
      <c r="A32" s="53" t="s">
        <v>16</v>
      </c>
      <c r="B32" s="54" t="s">
        <v>15</v>
      </c>
      <c r="C32" s="55">
        <v>4371020</v>
      </c>
      <c r="D32" s="55">
        <v>125694</v>
      </c>
      <c r="E32" s="55">
        <v>556316</v>
      </c>
      <c r="F32" s="55">
        <v>0</v>
      </c>
      <c r="G32" s="55">
        <f>D32+E32+F32</f>
        <v>682010</v>
      </c>
      <c r="H32" s="63">
        <v>530007</v>
      </c>
      <c r="I32" s="63">
        <v>2345775</v>
      </c>
      <c r="J32" s="63">
        <v>0</v>
      </c>
      <c r="K32" s="63">
        <f>H32+I32+J32</f>
        <v>2875782</v>
      </c>
      <c r="L32" s="63">
        <v>149878</v>
      </c>
      <c r="M32" s="63">
        <v>663350</v>
      </c>
      <c r="N32" s="63">
        <v>0</v>
      </c>
      <c r="O32" s="63">
        <f>L32+M32+N32</f>
        <v>813228</v>
      </c>
      <c r="R32" s="62">
        <f>G32+K32+O32</f>
        <v>4371020</v>
      </c>
      <c r="S32" s="62">
        <f>R32-C32</f>
        <v>0</v>
      </c>
      <c r="V32" s="61"/>
      <c r="W32" s="61"/>
      <c r="X32" s="61"/>
      <c r="Y32" s="61"/>
      <c r="Z32" s="61"/>
      <c r="AC32" s="95"/>
      <c r="AD32" s="95"/>
      <c r="AE32" s="95"/>
      <c r="AF32" s="95"/>
      <c r="AG32" s="94"/>
      <c r="AH32" s="95"/>
    </row>
    <row r="33" spans="1:19" ht="40.5" customHeight="1" x14ac:dyDescent="0.25">
      <c r="A33" s="56" t="s">
        <v>24</v>
      </c>
      <c r="B33" s="54" t="s">
        <v>14</v>
      </c>
      <c r="C33" s="55">
        <v>304215</v>
      </c>
      <c r="D33" s="55">
        <v>35315</v>
      </c>
      <c r="E33" s="55">
        <v>26868</v>
      </c>
      <c r="F33" s="55">
        <v>857</v>
      </c>
      <c r="G33" s="55">
        <f t="shared" ref="G33:G49" si="6">D33+E33+F33</f>
        <v>63040</v>
      </c>
      <c r="H33" s="63">
        <v>103783</v>
      </c>
      <c r="I33" s="63">
        <v>78958</v>
      </c>
      <c r="J33" s="63">
        <v>2519</v>
      </c>
      <c r="K33" s="63">
        <f t="shared" ref="K33:K49" si="7">H33+I33+J33</f>
        <v>185260</v>
      </c>
      <c r="L33" s="63">
        <v>31324</v>
      </c>
      <c r="M33" s="63">
        <v>23831</v>
      </c>
      <c r="N33" s="63">
        <v>760</v>
      </c>
      <c r="O33" s="63">
        <f t="shared" ref="O33:O49" si="8">L33+M33+N33</f>
        <v>55915</v>
      </c>
      <c r="R33" s="62">
        <f t="shared" ref="R33:R50" si="9">G33+K33+O33</f>
        <v>304215</v>
      </c>
      <c r="S33" s="62">
        <f t="shared" ref="S33:S50" si="10">R33-C33</f>
        <v>0</v>
      </c>
    </row>
    <row r="34" spans="1:19" ht="34.5" customHeight="1" x14ac:dyDescent="0.25">
      <c r="A34" s="56" t="s">
        <v>23</v>
      </c>
      <c r="B34" s="54" t="s">
        <v>13</v>
      </c>
      <c r="C34" s="55">
        <v>1781894</v>
      </c>
      <c r="D34" s="55">
        <v>0</v>
      </c>
      <c r="E34" s="55">
        <v>100998</v>
      </c>
      <c r="F34" s="55">
        <v>0</v>
      </c>
      <c r="G34" s="55">
        <f t="shared" si="6"/>
        <v>100998</v>
      </c>
      <c r="H34" s="63">
        <v>0</v>
      </c>
      <c r="I34" s="63">
        <v>1497058</v>
      </c>
      <c r="J34" s="63">
        <v>0</v>
      </c>
      <c r="K34" s="63">
        <f t="shared" si="7"/>
        <v>1497058</v>
      </c>
      <c r="L34" s="63">
        <v>0</v>
      </c>
      <c r="M34" s="63">
        <v>183838</v>
      </c>
      <c r="N34" s="63">
        <v>0</v>
      </c>
      <c r="O34" s="63">
        <f t="shared" si="8"/>
        <v>183838</v>
      </c>
      <c r="R34" s="62">
        <f t="shared" si="9"/>
        <v>1781894</v>
      </c>
      <c r="S34" s="62">
        <f t="shared" si="10"/>
        <v>0</v>
      </c>
    </row>
    <row r="35" spans="1:19" ht="40.5" customHeight="1" x14ac:dyDescent="0.25">
      <c r="A35" s="56" t="s">
        <v>22</v>
      </c>
      <c r="B35" s="54" t="s">
        <v>12</v>
      </c>
      <c r="C35" s="55">
        <v>176179</v>
      </c>
      <c r="D35" s="55">
        <v>20266</v>
      </c>
      <c r="E35" s="55">
        <v>0</v>
      </c>
      <c r="F35" s="55">
        <v>0</v>
      </c>
      <c r="G35" s="55">
        <f t="shared" si="6"/>
        <v>20266</v>
      </c>
      <c r="H35" s="63">
        <v>131803</v>
      </c>
      <c r="I35" s="63">
        <v>0</v>
      </c>
      <c r="J35" s="63">
        <v>0</v>
      </c>
      <c r="K35" s="63">
        <f t="shared" si="7"/>
        <v>131803</v>
      </c>
      <c r="L35" s="63">
        <v>24110</v>
      </c>
      <c r="M35" s="63">
        <v>0</v>
      </c>
      <c r="N35" s="63">
        <v>0</v>
      </c>
      <c r="O35" s="63">
        <f t="shared" si="8"/>
        <v>24110</v>
      </c>
      <c r="R35" s="62">
        <f t="shared" si="9"/>
        <v>176179</v>
      </c>
      <c r="S35" s="62">
        <f t="shared" si="10"/>
        <v>0</v>
      </c>
    </row>
    <row r="36" spans="1:19" ht="39.75" customHeight="1" x14ac:dyDescent="0.25">
      <c r="A36" s="56" t="s">
        <v>21</v>
      </c>
      <c r="B36" s="54" t="s">
        <v>11</v>
      </c>
      <c r="C36" s="55">
        <v>163620</v>
      </c>
      <c r="D36" s="55">
        <v>6380</v>
      </c>
      <c r="E36" s="55">
        <v>10144</v>
      </c>
      <c r="F36" s="55">
        <v>4395</v>
      </c>
      <c r="G36" s="55">
        <f t="shared" si="6"/>
        <v>20919</v>
      </c>
      <c r="H36" s="63">
        <v>33845</v>
      </c>
      <c r="I36" s="63">
        <v>53809</v>
      </c>
      <c r="J36" s="63">
        <v>23315</v>
      </c>
      <c r="K36" s="63">
        <f t="shared" si="7"/>
        <v>110969</v>
      </c>
      <c r="L36" s="63">
        <v>9678</v>
      </c>
      <c r="M36" s="63">
        <v>15387</v>
      </c>
      <c r="N36" s="63">
        <v>6667</v>
      </c>
      <c r="O36" s="63">
        <f t="shared" si="8"/>
        <v>31732</v>
      </c>
      <c r="R36" s="62">
        <f t="shared" si="9"/>
        <v>163620</v>
      </c>
      <c r="S36" s="62">
        <f t="shared" si="10"/>
        <v>0</v>
      </c>
    </row>
    <row r="37" spans="1:19" ht="28.5" customHeight="1" x14ac:dyDescent="0.25">
      <c r="A37" s="56" t="s">
        <v>20</v>
      </c>
      <c r="B37" s="54" t="s">
        <v>34</v>
      </c>
      <c r="C37" s="55">
        <v>312044</v>
      </c>
      <c r="D37" s="55">
        <v>58408</v>
      </c>
      <c r="E37" s="55">
        <v>0</v>
      </c>
      <c r="F37" s="55">
        <v>0</v>
      </c>
      <c r="G37" s="55">
        <f t="shared" si="6"/>
        <v>58408</v>
      </c>
      <c r="H37" s="63">
        <v>190650</v>
      </c>
      <c r="I37" s="63">
        <v>0</v>
      </c>
      <c r="J37" s="63">
        <v>0</v>
      </c>
      <c r="K37" s="63">
        <f t="shared" si="7"/>
        <v>190650</v>
      </c>
      <c r="L37" s="63">
        <v>62986</v>
      </c>
      <c r="M37" s="63">
        <v>0</v>
      </c>
      <c r="N37" s="63">
        <v>0</v>
      </c>
      <c r="O37" s="63">
        <f t="shared" si="8"/>
        <v>62986</v>
      </c>
      <c r="R37" s="62">
        <f t="shared" si="9"/>
        <v>312044</v>
      </c>
      <c r="S37" s="62">
        <f t="shared" si="10"/>
        <v>0</v>
      </c>
    </row>
    <row r="38" spans="1:19" ht="34.5" customHeight="1" x14ac:dyDescent="0.25">
      <c r="A38" s="56" t="s">
        <v>19</v>
      </c>
      <c r="B38" s="54" t="s">
        <v>10</v>
      </c>
      <c r="C38" s="55">
        <v>1045005</v>
      </c>
      <c r="D38" s="55">
        <v>22692</v>
      </c>
      <c r="E38" s="55">
        <v>29679</v>
      </c>
      <c r="F38" s="55">
        <v>1415</v>
      </c>
      <c r="G38" s="55">
        <f t="shared" si="6"/>
        <v>53786</v>
      </c>
      <c r="H38" s="63">
        <v>352939</v>
      </c>
      <c r="I38" s="63">
        <v>461607</v>
      </c>
      <c r="J38" s="63">
        <v>22001</v>
      </c>
      <c r="K38" s="63">
        <f t="shared" si="7"/>
        <v>836547</v>
      </c>
      <c r="L38" s="63">
        <v>65256</v>
      </c>
      <c r="M38" s="63">
        <v>85348</v>
      </c>
      <c r="N38" s="63">
        <v>4068</v>
      </c>
      <c r="O38" s="63">
        <f t="shared" si="8"/>
        <v>154672</v>
      </c>
      <c r="R38" s="62">
        <f t="shared" si="9"/>
        <v>1045005</v>
      </c>
      <c r="S38" s="62">
        <f t="shared" si="10"/>
        <v>0</v>
      </c>
    </row>
    <row r="39" spans="1:19" ht="25.5" customHeight="1" x14ac:dyDescent="0.25">
      <c r="A39" s="56" t="s">
        <v>18</v>
      </c>
      <c r="B39" s="54" t="s">
        <v>9</v>
      </c>
      <c r="C39" s="55">
        <v>865822</v>
      </c>
      <c r="D39" s="55">
        <v>81561</v>
      </c>
      <c r="E39" s="55">
        <v>123290</v>
      </c>
      <c r="F39" s="55">
        <v>3691</v>
      </c>
      <c r="G39" s="55">
        <f t="shared" si="6"/>
        <v>208542</v>
      </c>
      <c r="H39" s="63">
        <v>254848</v>
      </c>
      <c r="I39" s="63">
        <v>385236</v>
      </c>
      <c r="J39" s="63">
        <v>11534</v>
      </c>
      <c r="K39" s="63">
        <f t="shared" si="7"/>
        <v>651618</v>
      </c>
      <c r="L39" s="63">
        <v>2214</v>
      </c>
      <c r="M39" s="63">
        <v>3348</v>
      </c>
      <c r="N39" s="63">
        <v>100</v>
      </c>
      <c r="O39" s="63">
        <f t="shared" si="8"/>
        <v>5662</v>
      </c>
      <c r="R39" s="62">
        <f t="shared" si="9"/>
        <v>865822</v>
      </c>
      <c r="S39" s="62">
        <f t="shared" si="10"/>
        <v>0</v>
      </c>
    </row>
    <row r="40" spans="1:19" ht="25.5" customHeight="1" x14ac:dyDescent="0.25">
      <c r="A40" s="56" t="s">
        <v>25</v>
      </c>
      <c r="B40" s="54" t="s">
        <v>8</v>
      </c>
      <c r="C40" s="55">
        <v>1445885</v>
      </c>
      <c r="D40" s="55">
        <v>10886</v>
      </c>
      <c r="E40" s="55">
        <v>46227</v>
      </c>
      <c r="F40" s="55">
        <v>0</v>
      </c>
      <c r="G40" s="55">
        <f t="shared" si="6"/>
        <v>57113</v>
      </c>
      <c r="H40" s="63">
        <v>176672</v>
      </c>
      <c r="I40" s="63">
        <v>750255</v>
      </c>
      <c r="J40" s="63">
        <v>0</v>
      </c>
      <c r="K40" s="63">
        <f t="shared" si="7"/>
        <v>926927</v>
      </c>
      <c r="L40" s="63">
        <v>88028</v>
      </c>
      <c r="M40" s="63">
        <v>373817</v>
      </c>
      <c r="N40" s="63">
        <v>0</v>
      </c>
      <c r="O40" s="63">
        <f t="shared" si="8"/>
        <v>461845</v>
      </c>
      <c r="R40" s="62">
        <f t="shared" si="9"/>
        <v>1445885</v>
      </c>
      <c r="S40" s="62">
        <f t="shared" si="10"/>
        <v>0</v>
      </c>
    </row>
    <row r="41" spans="1:19" ht="25.5" customHeight="1" x14ac:dyDescent="0.25">
      <c r="A41" s="56" t="s">
        <v>26</v>
      </c>
      <c r="B41" s="54" t="s">
        <v>7</v>
      </c>
      <c r="C41" s="55">
        <v>937588</v>
      </c>
      <c r="D41" s="55">
        <v>2063</v>
      </c>
      <c r="E41" s="55">
        <v>15067</v>
      </c>
      <c r="F41" s="55">
        <v>0</v>
      </c>
      <c r="G41" s="55">
        <f t="shared" si="6"/>
        <v>17130</v>
      </c>
      <c r="H41" s="63">
        <v>100759</v>
      </c>
      <c r="I41" s="63">
        <v>736113</v>
      </c>
      <c r="J41" s="63">
        <v>0</v>
      </c>
      <c r="K41" s="63">
        <f t="shared" si="7"/>
        <v>836872</v>
      </c>
      <c r="L41" s="63">
        <v>10064</v>
      </c>
      <c r="M41" s="63">
        <v>73522</v>
      </c>
      <c r="N41" s="63">
        <v>0</v>
      </c>
      <c r="O41" s="63">
        <f t="shared" si="8"/>
        <v>83586</v>
      </c>
      <c r="R41" s="62">
        <f t="shared" si="9"/>
        <v>937588</v>
      </c>
      <c r="S41" s="62">
        <f t="shared" si="10"/>
        <v>0</v>
      </c>
    </row>
    <row r="42" spans="1:19" ht="25.5" customHeight="1" x14ac:dyDescent="0.25">
      <c r="A42" s="56" t="s">
        <v>27</v>
      </c>
      <c r="B42" s="54" t="s">
        <v>6</v>
      </c>
      <c r="C42" s="55">
        <v>651668</v>
      </c>
      <c r="D42" s="55">
        <v>2626</v>
      </c>
      <c r="E42" s="55">
        <v>1843</v>
      </c>
      <c r="F42" s="55">
        <v>73</v>
      </c>
      <c r="G42" s="55">
        <f t="shared" si="6"/>
        <v>4542</v>
      </c>
      <c r="H42" s="63">
        <v>373539</v>
      </c>
      <c r="I42" s="63">
        <v>262207</v>
      </c>
      <c r="J42" s="63">
        <v>10403</v>
      </c>
      <c r="K42" s="63">
        <f t="shared" si="7"/>
        <v>646149</v>
      </c>
      <c r="L42" s="63">
        <v>565</v>
      </c>
      <c r="M42" s="63">
        <v>397</v>
      </c>
      <c r="N42" s="63">
        <v>15</v>
      </c>
      <c r="O42" s="63">
        <f t="shared" si="8"/>
        <v>977</v>
      </c>
      <c r="R42" s="62">
        <f t="shared" si="9"/>
        <v>651668</v>
      </c>
      <c r="S42" s="62">
        <f t="shared" si="10"/>
        <v>0</v>
      </c>
    </row>
    <row r="43" spans="1:19" ht="25.5" customHeight="1" x14ac:dyDescent="0.25">
      <c r="A43" s="56" t="s">
        <v>28</v>
      </c>
      <c r="B43" s="54" t="s">
        <v>5</v>
      </c>
      <c r="C43" s="55">
        <v>728498</v>
      </c>
      <c r="D43" s="55">
        <v>20863</v>
      </c>
      <c r="E43" s="55">
        <v>75057</v>
      </c>
      <c r="F43" s="55">
        <v>4868</v>
      </c>
      <c r="G43" s="55">
        <f t="shared" si="6"/>
        <v>100788</v>
      </c>
      <c r="H43" s="63">
        <v>128671</v>
      </c>
      <c r="I43" s="63">
        <v>462904</v>
      </c>
      <c r="J43" s="63">
        <v>30023</v>
      </c>
      <c r="K43" s="63">
        <f t="shared" si="7"/>
        <v>621598</v>
      </c>
      <c r="L43" s="63">
        <v>1265</v>
      </c>
      <c r="M43" s="63">
        <v>4552</v>
      </c>
      <c r="N43" s="63">
        <v>295</v>
      </c>
      <c r="O43" s="63">
        <f t="shared" si="8"/>
        <v>6112</v>
      </c>
      <c r="R43" s="62">
        <f t="shared" si="9"/>
        <v>728498</v>
      </c>
      <c r="S43" s="62">
        <f t="shared" si="10"/>
        <v>0</v>
      </c>
    </row>
    <row r="44" spans="1:19" ht="25.5" customHeight="1" x14ac:dyDescent="0.25">
      <c r="A44" s="56" t="s">
        <v>29</v>
      </c>
      <c r="B44" s="54" t="s">
        <v>4</v>
      </c>
      <c r="C44" s="55">
        <v>696437</v>
      </c>
      <c r="D44" s="55">
        <v>13505</v>
      </c>
      <c r="E44" s="55">
        <v>22754</v>
      </c>
      <c r="F44" s="55">
        <v>945</v>
      </c>
      <c r="G44" s="55">
        <f t="shared" si="6"/>
        <v>37204</v>
      </c>
      <c r="H44" s="63">
        <v>231396</v>
      </c>
      <c r="I44" s="63">
        <v>389868</v>
      </c>
      <c r="J44" s="63">
        <v>16191</v>
      </c>
      <c r="K44" s="63">
        <f t="shared" si="7"/>
        <v>637455</v>
      </c>
      <c r="L44" s="63">
        <v>7905</v>
      </c>
      <c r="M44" s="63">
        <v>13320</v>
      </c>
      <c r="N44" s="63">
        <v>553</v>
      </c>
      <c r="O44" s="63">
        <f t="shared" si="8"/>
        <v>21778</v>
      </c>
      <c r="R44" s="62">
        <f t="shared" si="9"/>
        <v>696437</v>
      </c>
      <c r="S44" s="62">
        <f t="shared" si="10"/>
        <v>0</v>
      </c>
    </row>
    <row r="45" spans="1:19" ht="25.5" customHeight="1" x14ac:dyDescent="0.25">
      <c r="A45" s="56">
        <v>14</v>
      </c>
      <c r="B45" s="54" t="s">
        <v>3</v>
      </c>
      <c r="C45" s="55">
        <v>913731</v>
      </c>
      <c r="D45" s="55">
        <v>43796</v>
      </c>
      <c r="E45" s="55">
        <v>21561</v>
      </c>
      <c r="F45" s="55">
        <v>2022</v>
      </c>
      <c r="G45" s="55">
        <f t="shared" si="6"/>
        <v>67379</v>
      </c>
      <c r="H45" s="63">
        <v>489335</v>
      </c>
      <c r="I45" s="63">
        <v>240903</v>
      </c>
      <c r="J45" s="63">
        <v>22585</v>
      </c>
      <c r="K45" s="63">
        <f t="shared" si="7"/>
        <v>752823</v>
      </c>
      <c r="L45" s="63">
        <v>60794</v>
      </c>
      <c r="M45" s="63">
        <v>29929</v>
      </c>
      <c r="N45" s="63">
        <v>2806</v>
      </c>
      <c r="O45" s="63">
        <f t="shared" si="8"/>
        <v>93529</v>
      </c>
      <c r="R45" s="62">
        <f t="shared" si="9"/>
        <v>913731</v>
      </c>
      <c r="S45" s="62">
        <f t="shared" si="10"/>
        <v>0</v>
      </c>
    </row>
    <row r="46" spans="1:19" ht="54" customHeight="1" x14ac:dyDescent="0.25">
      <c r="A46" s="56" t="s">
        <v>30</v>
      </c>
      <c r="B46" s="54" t="s">
        <v>2</v>
      </c>
      <c r="C46" s="55">
        <v>122024</v>
      </c>
      <c r="D46" s="55">
        <v>3456</v>
      </c>
      <c r="E46" s="55">
        <v>0</v>
      </c>
      <c r="F46" s="55">
        <v>0</v>
      </c>
      <c r="G46" s="55">
        <f t="shared" si="6"/>
        <v>3456</v>
      </c>
      <c r="H46" s="63">
        <v>102155</v>
      </c>
      <c r="I46" s="63">
        <v>0</v>
      </c>
      <c r="J46" s="63">
        <v>0</v>
      </c>
      <c r="K46" s="63">
        <f t="shared" si="7"/>
        <v>102155</v>
      </c>
      <c r="L46" s="63">
        <v>16413</v>
      </c>
      <c r="M46" s="63">
        <v>0</v>
      </c>
      <c r="N46" s="63">
        <v>0</v>
      </c>
      <c r="O46" s="63">
        <f t="shared" si="8"/>
        <v>16413</v>
      </c>
      <c r="R46" s="62">
        <f t="shared" si="9"/>
        <v>122024</v>
      </c>
      <c r="S46" s="62">
        <f t="shared" si="10"/>
        <v>0</v>
      </c>
    </row>
    <row r="47" spans="1:19" ht="39.75" customHeight="1" x14ac:dyDescent="0.25">
      <c r="A47" s="56" t="s">
        <v>31</v>
      </c>
      <c r="B47" s="54" t="s">
        <v>1</v>
      </c>
      <c r="C47" s="55">
        <v>87554</v>
      </c>
      <c r="D47" s="55">
        <v>6512</v>
      </c>
      <c r="E47" s="55">
        <v>0</v>
      </c>
      <c r="F47" s="55">
        <v>0</v>
      </c>
      <c r="G47" s="55">
        <f t="shared" si="6"/>
        <v>6512</v>
      </c>
      <c r="H47" s="63">
        <v>77510</v>
      </c>
      <c r="I47" s="63">
        <v>0</v>
      </c>
      <c r="J47" s="63">
        <v>0</v>
      </c>
      <c r="K47" s="63">
        <f t="shared" si="7"/>
        <v>77510</v>
      </c>
      <c r="L47" s="63">
        <v>3532</v>
      </c>
      <c r="M47" s="63">
        <v>0</v>
      </c>
      <c r="N47" s="63">
        <v>0</v>
      </c>
      <c r="O47" s="63">
        <f t="shared" si="8"/>
        <v>3532</v>
      </c>
      <c r="R47" s="62">
        <f t="shared" si="9"/>
        <v>87554</v>
      </c>
      <c r="S47" s="62">
        <f t="shared" si="10"/>
        <v>0</v>
      </c>
    </row>
    <row r="48" spans="1:19" ht="33" customHeight="1" x14ac:dyDescent="0.25">
      <c r="A48" s="56" t="s">
        <v>32</v>
      </c>
      <c r="B48" s="54" t="s">
        <v>73</v>
      </c>
      <c r="C48" s="55">
        <v>431020</v>
      </c>
      <c r="D48" s="55">
        <v>84777</v>
      </c>
      <c r="E48" s="55">
        <v>0</v>
      </c>
      <c r="F48" s="55">
        <v>0</v>
      </c>
      <c r="G48" s="55">
        <f t="shared" si="6"/>
        <v>84777</v>
      </c>
      <c r="H48" s="63">
        <v>277517</v>
      </c>
      <c r="I48" s="63">
        <v>0</v>
      </c>
      <c r="J48" s="63">
        <v>0</v>
      </c>
      <c r="K48" s="63">
        <f t="shared" si="7"/>
        <v>277517</v>
      </c>
      <c r="L48" s="63">
        <v>68726</v>
      </c>
      <c r="M48" s="63">
        <v>0</v>
      </c>
      <c r="N48" s="63">
        <v>0</v>
      </c>
      <c r="O48" s="63">
        <f t="shared" si="8"/>
        <v>68726</v>
      </c>
      <c r="R48" s="62">
        <f t="shared" si="9"/>
        <v>431020</v>
      </c>
      <c r="S48" s="62">
        <f t="shared" si="10"/>
        <v>0</v>
      </c>
    </row>
    <row r="49" spans="1:34" ht="33" customHeight="1" x14ac:dyDescent="0.25">
      <c r="A49" s="56" t="s">
        <v>90</v>
      </c>
      <c r="B49" s="70" t="s">
        <v>91</v>
      </c>
      <c r="C49" s="55">
        <f>E49+I49+M49</f>
        <v>123323</v>
      </c>
      <c r="D49" s="55">
        <v>0</v>
      </c>
      <c r="E49" s="55">
        <v>20868</v>
      </c>
      <c r="F49" s="55">
        <v>0</v>
      </c>
      <c r="G49" s="55">
        <f t="shared" si="6"/>
        <v>20868</v>
      </c>
      <c r="H49" s="63">
        <v>0</v>
      </c>
      <c r="I49" s="63">
        <v>68615</v>
      </c>
      <c r="J49" s="63">
        <v>0</v>
      </c>
      <c r="K49" s="63">
        <f t="shared" si="7"/>
        <v>68615</v>
      </c>
      <c r="L49" s="63">
        <v>0</v>
      </c>
      <c r="M49" s="63">
        <v>33840</v>
      </c>
      <c r="N49" s="63">
        <v>0</v>
      </c>
      <c r="O49" s="63">
        <f t="shared" si="8"/>
        <v>33840</v>
      </c>
      <c r="R49" s="62">
        <f t="shared" si="9"/>
        <v>123323</v>
      </c>
      <c r="S49" s="62">
        <f>R49-C49</f>
        <v>0</v>
      </c>
    </row>
    <row r="50" spans="1:34" ht="25.5" customHeight="1" x14ac:dyDescent="0.25">
      <c r="A50" s="57"/>
      <c r="B50" s="57" t="s">
        <v>0</v>
      </c>
      <c r="C50" s="58">
        <f>SUM(C32:C49)</f>
        <v>15157527</v>
      </c>
      <c r="D50" s="58">
        <f t="shared" ref="D50:O50" si="11">SUM(D32:D49)</f>
        <v>538800</v>
      </c>
      <c r="E50" s="58">
        <f t="shared" si="11"/>
        <v>1050672</v>
      </c>
      <c r="F50" s="58">
        <f t="shared" si="11"/>
        <v>18266</v>
      </c>
      <c r="G50" s="58">
        <f t="shared" si="11"/>
        <v>1607738</v>
      </c>
      <c r="H50" s="58">
        <f t="shared" si="11"/>
        <v>3555429</v>
      </c>
      <c r="I50" s="58">
        <f t="shared" si="11"/>
        <v>7733308</v>
      </c>
      <c r="J50" s="58">
        <f t="shared" si="11"/>
        <v>138571</v>
      </c>
      <c r="K50" s="58">
        <f t="shared" si="11"/>
        <v>11427308</v>
      </c>
      <c r="L50" s="58">
        <f t="shared" si="11"/>
        <v>602738</v>
      </c>
      <c r="M50" s="58">
        <f t="shared" si="11"/>
        <v>1504479</v>
      </c>
      <c r="N50" s="58">
        <f t="shared" si="11"/>
        <v>15264</v>
      </c>
      <c r="O50" s="58">
        <f t="shared" si="11"/>
        <v>2122481</v>
      </c>
      <c r="R50" s="62">
        <f t="shared" si="9"/>
        <v>15157527</v>
      </c>
      <c r="S50" s="62">
        <f t="shared" si="10"/>
        <v>0</v>
      </c>
    </row>
    <row r="51" spans="1:34" x14ac:dyDescent="0.25">
      <c r="G51" s="2"/>
      <c r="H51" s="67"/>
      <c r="I51" s="67"/>
      <c r="J51" s="67"/>
    </row>
    <row r="52" spans="1:34" s="4" customFormat="1" ht="28.5" customHeight="1" x14ac:dyDescent="0.25">
      <c r="A52" s="152" t="s">
        <v>17</v>
      </c>
      <c r="B52" s="152" t="s">
        <v>33</v>
      </c>
      <c r="C52" s="152" t="s">
        <v>75</v>
      </c>
      <c r="D52" s="152" t="s">
        <v>69</v>
      </c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  <c r="R52" s="61"/>
      <c r="S52" s="61"/>
      <c r="V52" s="61"/>
      <c r="W52" s="61"/>
      <c r="X52" s="61"/>
      <c r="Y52" s="61"/>
      <c r="Z52" s="61"/>
      <c r="AC52" s="95"/>
      <c r="AD52" s="95"/>
      <c r="AE52" s="95"/>
      <c r="AF52" s="95"/>
      <c r="AG52" s="93"/>
      <c r="AH52" s="95"/>
    </row>
    <row r="53" spans="1:34" s="4" customFormat="1" ht="41.25" customHeight="1" x14ac:dyDescent="0.25">
      <c r="A53" s="152"/>
      <c r="B53" s="152"/>
      <c r="C53" s="152"/>
      <c r="D53" s="154" t="s">
        <v>36</v>
      </c>
      <c r="E53" s="154"/>
      <c r="F53" s="154"/>
      <c r="G53" s="154"/>
      <c r="H53" s="155" t="s">
        <v>37</v>
      </c>
      <c r="I53" s="156"/>
      <c r="J53" s="156"/>
      <c r="K53" s="157"/>
      <c r="L53" s="155" t="s">
        <v>38</v>
      </c>
      <c r="M53" s="156"/>
      <c r="N53" s="156"/>
      <c r="O53" s="157"/>
      <c r="R53" s="61"/>
      <c r="S53" s="61"/>
      <c r="V53" s="61"/>
      <c r="W53" s="61"/>
      <c r="X53" s="61"/>
      <c r="Y53" s="61"/>
      <c r="Z53" s="61"/>
      <c r="AC53" s="95"/>
      <c r="AD53" s="95"/>
      <c r="AE53" s="95"/>
      <c r="AF53" s="95"/>
      <c r="AG53" s="93"/>
      <c r="AH53" s="95"/>
    </row>
    <row r="54" spans="1:34" s="4" customFormat="1" ht="59.25" customHeight="1" x14ac:dyDescent="0.25">
      <c r="A54" s="152"/>
      <c r="B54" s="152"/>
      <c r="C54" s="152"/>
      <c r="D54" s="83" t="s">
        <v>66</v>
      </c>
      <c r="E54" s="83" t="s">
        <v>67</v>
      </c>
      <c r="F54" s="83" t="s">
        <v>68</v>
      </c>
      <c r="G54" s="83" t="s">
        <v>70</v>
      </c>
      <c r="H54" s="65" t="s">
        <v>66</v>
      </c>
      <c r="I54" s="65" t="s">
        <v>67</v>
      </c>
      <c r="J54" s="65" t="s">
        <v>68</v>
      </c>
      <c r="K54" s="65" t="s">
        <v>71</v>
      </c>
      <c r="L54" s="65" t="s">
        <v>66</v>
      </c>
      <c r="M54" s="65" t="s">
        <v>67</v>
      </c>
      <c r="N54" s="65" t="s">
        <v>68</v>
      </c>
      <c r="O54" s="65" t="s">
        <v>72</v>
      </c>
      <c r="R54" s="61"/>
      <c r="S54" s="61"/>
      <c r="V54" s="61"/>
      <c r="W54" s="61"/>
      <c r="X54" s="61"/>
      <c r="Y54" s="61"/>
      <c r="Z54" s="61"/>
      <c r="AC54" s="95"/>
      <c r="AD54" s="95"/>
      <c r="AE54" s="95"/>
      <c r="AF54" s="95"/>
      <c r="AG54" s="93"/>
      <c r="AH54" s="95"/>
    </row>
    <row r="55" spans="1:34" s="3" customFormat="1" ht="14.25" customHeight="1" x14ac:dyDescent="0.25">
      <c r="A55" s="53">
        <v>1</v>
      </c>
      <c r="B55" s="53">
        <v>2</v>
      </c>
      <c r="C55" s="53">
        <v>3</v>
      </c>
      <c r="D55" s="53">
        <v>4</v>
      </c>
      <c r="E55" s="53">
        <v>5</v>
      </c>
      <c r="F55" s="53">
        <v>6</v>
      </c>
      <c r="G55" s="53">
        <v>7</v>
      </c>
      <c r="H55" s="66">
        <v>8</v>
      </c>
      <c r="I55" s="66">
        <v>9</v>
      </c>
      <c r="J55" s="66">
        <v>10</v>
      </c>
      <c r="K55" s="66">
        <v>11</v>
      </c>
      <c r="L55" s="66">
        <v>12</v>
      </c>
      <c r="M55" s="66">
        <v>13</v>
      </c>
      <c r="N55" s="66">
        <v>14</v>
      </c>
      <c r="O55" s="66">
        <v>15</v>
      </c>
      <c r="R55" s="61"/>
      <c r="S55" s="61"/>
      <c r="V55" s="61"/>
      <c r="W55" s="61"/>
      <c r="X55" s="61"/>
      <c r="Y55" s="61"/>
      <c r="Z55" s="61"/>
      <c r="AC55" s="95"/>
      <c r="AD55" s="95"/>
      <c r="AE55" s="95"/>
      <c r="AF55" s="95"/>
      <c r="AG55" s="94"/>
      <c r="AH55" s="95"/>
    </row>
    <row r="56" spans="1:34" s="3" customFormat="1" ht="25.5" customHeight="1" x14ac:dyDescent="0.25">
      <c r="A56" s="53" t="s">
        <v>16</v>
      </c>
      <c r="B56" s="54" t="s">
        <v>15</v>
      </c>
      <c r="C56" s="55">
        <v>5778001</v>
      </c>
      <c r="D56" s="55">
        <v>109177</v>
      </c>
      <c r="E56" s="55">
        <v>792365</v>
      </c>
      <c r="F56" s="55">
        <v>0</v>
      </c>
      <c r="G56" s="55">
        <f>D56+E56+F56</f>
        <v>901542</v>
      </c>
      <c r="H56" s="63">
        <v>460357</v>
      </c>
      <c r="I56" s="63">
        <v>3341105</v>
      </c>
      <c r="J56" s="63">
        <v>0</v>
      </c>
      <c r="K56" s="63">
        <f>H56+I56+J56</f>
        <v>3801462</v>
      </c>
      <c r="L56" s="63">
        <v>130182</v>
      </c>
      <c r="M56" s="63">
        <v>944815</v>
      </c>
      <c r="N56" s="63">
        <v>0</v>
      </c>
      <c r="O56" s="63">
        <f>L56+M56+N56</f>
        <v>1074997</v>
      </c>
      <c r="R56" s="62">
        <f>G56+K56+O56</f>
        <v>5778001</v>
      </c>
      <c r="S56" s="62">
        <f>R56-C56</f>
        <v>0</v>
      </c>
      <c r="V56" s="61"/>
      <c r="W56" s="61"/>
      <c r="X56" s="61"/>
      <c r="Y56" s="61"/>
      <c r="Z56" s="61"/>
      <c r="AC56" s="95"/>
      <c r="AD56" s="95"/>
      <c r="AE56" s="95"/>
      <c r="AF56" s="95"/>
      <c r="AG56" s="94"/>
      <c r="AH56" s="95"/>
    </row>
    <row r="57" spans="1:34" ht="40.5" customHeight="1" x14ac:dyDescent="0.25">
      <c r="A57" s="56" t="s">
        <v>24</v>
      </c>
      <c r="B57" s="54" t="s">
        <v>14</v>
      </c>
      <c r="C57" s="55">
        <v>298337</v>
      </c>
      <c r="D57" s="55">
        <v>34119</v>
      </c>
      <c r="E57" s="55">
        <v>26849</v>
      </c>
      <c r="F57" s="55">
        <v>853</v>
      </c>
      <c r="G57" s="55">
        <f t="shared" ref="G57:G73" si="12">D57+E57+F57</f>
        <v>61821</v>
      </c>
      <c r="H57" s="63">
        <v>100270</v>
      </c>
      <c r="I57" s="63">
        <v>78904</v>
      </c>
      <c r="J57" s="63">
        <v>2507</v>
      </c>
      <c r="K57" s="63">
        <f t="shared" ref="K57:K73" si="13">H57+I57+J57</f>
        <v>181681</v>
      </c>
      <c r="L57" s="63">
        <v>30263</v>
      </c>
      <c r="M57" s="63">
        <v>23815</v>
      </c>
      <c r="N57" s="63">
        <v>757</v>
      </c>
      <c r="O57" s="63">
        <f t="shared" ref="O57:O73" si="14">L57+M57+N57</f>
        <v>54835</v>
      </c>
      <c r="R57" s="62">
        <f t="shared" ref="R57:R74" si="15">G57+K57+O57</f>
        <v>298337</v>
      </c>
      <c r="S57" s="62">
        <f t="shared" ref="S57:S74" si="16">R57-C57</f>
        <v>0</v>
      </c>
    </row>
    <row r="58" spans="1:34" ht="34.5" customHeight="1" x14ac:dyDescent="0.25">
      <c r="A58" s="56" t="s">
        <v>23</v>
      </c>
      <c r="B58" s="54" t="s">
        <v>13</v>
      </c>
      <c r="C58" s="55">
        <v>1664316</v>
      </c>
      <c r="D58" s="55">
        <v>0</v>
      </c>
      <c r="E58" s="55">
        <v>94333</v>
      </c>
      <c r="F58" s="55">
        <v>0</v>
      </c>
      <c r="G58" s="55">
        <f t="shared" si="12"/>
        <v>94333</v>
      </c>
      <c r="H58" s="63">
        <v>0</v>
      </c>
      <c r="I58" s="63">
        <v>1398275</v>
      </c>
      <c r="J58" s="63">
        <v>0</v>
      </c>
      <c r="K58" s="63">
        <f t="shared" si="13"/>
        <v>1398275</v>
      </c>
      <c r="L58" s="63">
        <v>0</v>
      </c>
      <c r="M58" s="63">
        <v>171708</v>
      </c>
      <c r="N58" s="63">
        <v>0</v>
      </c>
      <c r="O58" s="63">
        <f t="shared" si="14"/>
        <v>171708</v>
      </c>
      <c r="R58" s="62">
        <f t="shared" si="15"/>
        <v>1664316</v>
      </c>
      <c r="S58" s="62">
        <f t="shared" si="16"/>
        <v>0</v>
      </c>
    </row>
    <row r="59" spans="1:34" ht="40.5" customHeight="1" x14ac:dyDescent="0.25">
      <c r="A59" s="56" t="s">
        <v>22</v>
      </c>
      <c r="B59" s="54" t="s">
        <v>12</v>
      </c>
      <c r="C59" s="55">
        <v>197228</v>
      </c>
      <c r="D59" s="55">
        <v>22687</v>
      </c>
      <c r="E59" s="55">
        <v>0</v>
      </c>
      <c r="F59" s="55">
        <v>0</v>
      </c>
      <c r="G59" s="55">
        <f t="shared" si="12"/>
        <v>22687</v>
      </c>
      <c r="H59" s="63">
        <v>147550</v>
      </c>
      <c r="I59" s="63">
        <v>0</v>
      </c>
      <c r="J59" s="63">
        <v>0</v>
      </c>
      <c r="K59" s="63">
        <f t="shared" si="13"/>
        <v>147550</v>
      </c>
      <c r="L59" s="63">
        <v>26991</v>
      </c>
      <c r="M59" s="63">
        <v>0</v>
      </c>
      <c r="N59" s="63">
        <v>0</v>
      </c>
      <c r="O59" s="63">
        <f t="shared" si="14"/>
        <v>26991</v>
      </c>
      <c r="R59" s="62">
        <f t="shared" si="15"/>
        <v>197228</v>
      </c>
      <c r="S59" s="62">
        <f t="shared" si="16"/>
        <v>0</v>
      </c>
    </row>
    <row r="60" spans="1:34" ht="39.75" customHeight="1" x14ac:dyDescent="0.25">
      <c r="A60" s="56" t="s">
        <v>21</v>
      </c>
      <c r="B60" s="54" t="s">
        <v>11</v>
      </c>
      <c r="C60" s="55">
        <v>148004</v>
      </c>
      <c r="D60" s="55">
        <v>5785</v>
      </c>
      <c r="E60" s="55">
        <v>9172</v>
      </c>
      <c r="F60" s="55">
        <v>3966</v>
      </c>
      <c r="G60" s="55">
        <f t="shared" si="12"/>
        <v>18923</v>
      </c>
      <c r="H60" s="63">
        <v>30685</v>
      </c>
      <c r="I60" s="63">
        <v>48653</v>
      </c>
      <c r="J60" s="63">
        <v>21039</v>
      </c>
      <c r="K60" s="63">
        <f t="shared" si="13"/>
        <v>100377</v>
      </c>
      <c r="L60" s="63">
        <v>8775</v>
      </c>
      <c r="M60" s="63">
        <v>13913</v>
      </c>
      <c r="N60" s="63">
        <v>6016</v>
      </c>
      <c r="O60" s="63">
        <f t="shared" si="14"/>
        <v>28704</v>
      </c>
      <c r="R60" s="62">
        <f t="shared" si="15"/>
        <v>148004</v>
      </c>
      <c r="S60" s="62">
        <f t="shared" si="16"/>
        <v>0</v>
      </c>
    </row>
    <row r="61" spans="1:34" ht="28.5" customHeight="1" x14ac:dyDescent="0.25">
      <c r="A61" s="56" t="s">
        <v>20</v>
      </c>
      <c r="B61" s="54" t="s">
        <v>34</v>
      </c>
      <c r="C61" s="55">
        <v>312044</v>
      </c>
      <c r="D61" s="55">
        <v>58408</v>
      </c>
      <c r="E61" s="55">
        <v>0</v>
      </c>
      <c r="F61" s="55">
        <v>0</v>
      </c>
      <c r="G61" s="55">
        <f t="shared" si="12"/>
        <v>58408</v>
      </c>
      <c r="H61" s="63">
        <v>190650</v>
      </c>
      <c r="I61" s="63">
        <v>0</v>
      </c>
      <c r="J61" s="63">
        <v>0</v>
      </c>
      <c r="K61" s="63">
        <f t="shared" si="13"/>
        <v>190650</v>
      </c>
      <c r="L61" s="63">
        <v>62986</v>
      </c>
      <c r="M61" s="63">
        <v>0</v>
      </c>
      <c r="N61" s="63">
        <v>0</v>
      </c>
      <c r="O61" s="63">
        <f t="shared" si="14"/>
        <v>62986</v>
      </c>
      <c r="R61" s="62">
        <f t="shared" si="15"/>
        <v>312044</v>
      </c>
      <c r="S61" s="62">
        <f t="shared" si="16"/>
        <v>0</v>
      </c>
    </row>
    <row r="62" spans="1:34" ht="34.5" customHeight="1" x14ac:dyDescent="0.25">
      <c r="A62" s="56" t="s">
        <v>19</v>
      </c>
      <c r="B62" s="54" t="s">
        <v>10</v>
      </c>
      <c r="C62" s="55">
        <v>1003584</v>
      </c>
      <c r="D62" s="55">
        <v>21803</v>
      </c>
      <c r="E62" s="55">
        <v>28518</v>
      </c>
      <c r="F62" s="55">
        <v>1333</v>
      </c>
      <c r="G62" s="55">
        <f t="shared" si="12"/>
        <v>51654</v>
      </c>
      <c r="H62" s="63">
        <v>339111</v>
      </c>
      <c r="I62" s="63">
        <v>443551</v>
      </c>
      <c r="J62" s="63">
        <v>20727</v>
      </c>
      <c r="K62" s="63">
        <f t="shared" si="13"/>
        <v>803389</v>
      </c>
      <c r="L62" s="63">
        <v>62700</v>
      </c>
      <c r="M62" s="63">
        <v>82009</v>
      </c>
      <c r="N62" s="63">
        <v>3832</v>
      </c>
      <c r="O62" s="63">
        <f t="shared" si="14"/>
        <v>148541</v>
      </c>
      <c r="R62" s="62">
        <f t="shared" si="15"/>
        <v>1003584</v>
      </c>
      <c r="S62" s="62">
        <f t="shared" si="16"/>
        <v>0</v>
      </c>
    </row>
    <row r="63" spans="1:34" ht="25.5" customHeight="1" x14ac:dyDescent="0.25">
      <c r="A63" s="56" t="s">
        <v>18</v>
      </c>
      <c r="B63" s="54" t="s">
        <v>9</v>
      </c>
      <c r="C63" s="55">
        <v>870861</v>
      </c>
      <c r="D63" s="55">
        <v>82686</v>
      </c>
      <c r="E63" s="55">
        <v>123357</v>
      </c>
      <c r="F63" s="55">
        <v>3713</v>
      </c>
      <c r="G63" s="55">
        <f t="shared" si="12"/>
        <v>209756</v>
      </c>
      <c r="H63" s="63">
        <v>258363</v>
      </c>
      <c r="I63" s="63">
        <v>385446</v>
      </c>
      <c r="J63" s="63">
        <v>11601</v>
      </c>
      <c r="K63" s="63">
        <f t="shared" si="13"/>
        <v>655410</v>
      </c>
      <c r="L63" s="63">
        <v>2245</v>
      </c>
      <c r="M63" s="63">
        <v>3349</v>
      </c>
      <c r="N63" s="63">
        <v>101</v>
      </c>
      <c r="O63" s="63">
        <f t="shared" si="14"/>
        <v>5695</v>
      </c>
      <c r="R63" s="62">
        <f t="shared" si="15"/>
        <v>870861</v>
      </c>
      <c r="S63" s="62">
        <f t="shared" si="16"/>
        <v>0</v>
      </c>
    </row>
    <row r="64" spans="1:34" ht="25.5" customHeight="1" x14ac:dyDescent="0.25">
      <c r="A64" s="56" t="s">
        <v>25</v>
      </c>
      <c r="B64" s="54" t="s">
        <v>8</v>
      </c>
      <c r="C64" s="55">
        <v>1466498</v>
      </c>
      <c r="D64" s="55">
        <v>12101</v>
      </c>
      <c r="E64" s="55">
        <v>45826</v>
      </c>
      <c r="F64" s="55">
        <v>0</v>
      </c>
      <c r="G64" s="55">
        <f t="shared" si="12"/>
        <v>57927</v>
      </c>
      <c r="H64" s="63">
        <v>196396</v>
      </c>
      <c r="I64" s="63">
        <v>743746</v>
      </c>
      <c r="J64" s="63">
        <v>0</v>
      </c>
      <c r="K64" s="63">
        <f t="shared" si="13"/>
        <v>940142</v>
      </c>
      <c r="L64" s="63">
        <v>97855</v>
      </c>
      <c r="M64" s="63">
        <v>370574</v>
      </c>
      <c r="N64" s="63">
        <v>0</v>
      </c>
      <c r="O64" s="63">
        <f t="shared" si="14"/>
        <v>468429</v>
      </c>
      <c r="R64" s="62">
        <f t="shared" si="15"/>
        <v>1466498</v>
      </c>
      <c r="S64" s="62">
        <f t="shared" si="16"/>
        <v>0</v>
      </c>
    </row>
    <row r="65" spans="1:34" ht="25.5" customHeight="1" x14ac:dyDescent="0.25">
      <c r="A65" s="56" t="s">
        <v>26</v>
      </c>
      <c r="B65" s="54" t="s">
        <v>7</v>
      </c>
      <c r="C65" s="55">
        <v>952782</v>
      </c>
      <c r="D65" s="55">
        <v>2024</v>
      </c>
      <c r="E65" s="55">
        <v>15383</v>
      </c>
      <c r="F65" s="55">
        <v>0</v>
      </c>
      <c r="G65" s="55">
        <f t="shared" si="12"/>
        <v>17407</v>
      </c>
      <c r="H65" s="63">
        <v>98906</v>
      </c>
      <c r="I65" s="63">
        <v>751529</v>
      </c>
      <c r="J65" s="63">
        <v>0</v>
      </c>
      <c r="K65" s="63">
        <f t="shared" si="13"/>
        <v>850435</v>
      </c>
      <c r="L65" s="63">
        <v>9878</v>
      </c>
      <c r="M65" s="63">
        <v>75062</v>
      </c>
      <c r="N65" s="63">
        <v>0</v>
      </c>
      <c r="O65" s="63">
        <f t="shared" si="14"/>
        <v>84940</v>
      </c>
      <c r="R65" s="62">
        <f t="shared" si="15"/>
        <v>952782</v>
      </c>
      <c r="S65" s="62">
        <f t="shared" si="16"/>
        <v>0</v>
      </c>
    </row>
    <row r="66" spans="1:34" ht="25.5" customHeight="1" x14ac:dyDescent="0.25">
      <c r="A66" s="56" t="s">
        <v>27</v>
      </c>
      <c r="B66" s="54" t="s">
        <v>6</v>
      </c>
      <c r="C66" s="55">
        <v>535884</v>
      </c>
      <c r="D66" s="55">
        <v>2222</v>
      </c>
      <c r="E66" s="55">
        <v>1454</v>
      </c>
      <c r="F66" s="55">
        <v>59</v>
      </c>
      <c r="G66" s="55">
        <f t="shared" si="12"/>
        <v>3735</v>
      </c>
      <c r="H66" s="63">
        <v>316150</v>
      </c>
      <c r="I66" s="63">
        <v>206853</v>
      </c>
      <c r="J66" s="63">
        <v>8342</v>
      </c>
      <c r="K66" s="63">
        <f t="shared" si="13"/>
        <v>531345</v>
      </c>
      <c r="L66" s="63">
        <v>478</v>
      </c>
      <c r="M66" s="63">
        <v>313</v>
      </c>
      <c r="N66" s="63">
        <v>13</v>
      </c>
      <c r="O66" s="63">
        <f t="shared" si="14"/>
        <v>804</v>
      </c>
      <c r="R66" s="62">
        <f t="shared" si="15"/>
        <v>535884</v>
      </c>
      <c r="S66" s="62">
        <f t="shared" si="16"/>
        <v>0</v>
      </c>
    </row>
    <row r="67" spans="1:34" ht="25.5" customHeight="1" x14ac:dyDescent="0.25">
      <c r="A67" s="56" t="s">
        <v>28</v>
      </c>
      <c r="B67" s="54" t="s">
        <v>5</v>
      </c>
      <c r="C67" s="55">
        <v>1013772</v>
      </c>
      <c r="D67" s="55">
        <v>41880</v>
      </c>
      <c r="E67" s="55">
        <v>92737</v>
      </c>
      <c r="F67" s="55">
        <v>5638</v>
      </c>
      <c r="G67" s="55">
        <f t="shared" si="12"/>
        <v>140255</v>
      </c>
      <c r="H67" s="63">
        <v>258292</v>
      </c>
      <c r="I67" s="63">
        <v>571946</v>
      </c>
      <c r="J67" s="63">
        <v>34773</v>
      </c>
      <c r="K67" s="63">
        <f t="shared" si="13"/>
        <v>865011</v>
      </c>
      <c r="L67" s="63">
        <v>2540</v>
      </c>
      <c r="M67" s="63">
        <v>5624</v>
      </c>
      <c r="N67" s="63">
        <v>342</v>
      </c>
      <c r="O67" s="63">
        <f t="shared" si="14"/>
        <v>8506</v>
      </c>
      <c r="R67" s="62">
        <f t="shared" si="15"/>
        <v>1013772</v>
      </c>
      <c r="S67" s="62">
        <f t="shared" si="16"/>
        <v>0</v>
      </c>
    </row>
    <row r="68" spans="1:34" ht="25.5" customHeight="1" x14ac:dyDescent="0.25">
      <c r="A68" s="56" t="s">
        <v>29</v>
      </c>
      <c r="B68" s="54" t="s">
        <v>4</v>
      </c>
      <c r="C68" s="55">
        <v>587564</v>
      </c>
      <c r="D68" s="55">
        <v>11394</v>
      </c>
      <c r="E68" s="55">
        <v>19197</v>
      </c>
      <c r="F68" s="55">
        <v>797</v>
      </c>
      <c r="G68" s="55">
        <f t="shared" si="12"/>
        <v>31388</v>
      </c>
      <c r="H68" s="63">
        <v>195223</v>
      </c>
      <c r="I68" s="63">
        <v>328920</v>
      </c>
      <c r="J68" s="63">
        <v>13660</v>
      </c>
      <c r="K68" s="63">
        <f t="shared" si="13"/>
        <v>537803</v>
      </c>
      <c r="L68" s="63">
        <v>6670</v>
      </c>
      <c r="M68" s="63">
        <v>11236</v>
      </c>
      <c r="N68" s="63">
        <v>467</v>
      </c>
      <c r="O68" s="63">
        <f t="shared" si="14"/>
        <v>18373</v>
      </c>
      <c r="R68" s="62">
        <f t="shared" si="15"/>
        <v>587564</v>
      </c>
      <c r="S68" s="62">
        <f t="shared" si="16"/>
        <v>0</v>
      </c>
    </row>
    <row r="69" spans="1:34" ht="25.5" customHeight="1" x14ac:dyDescent="0.25">
      <c r="A69" s="56">
        <v>14</v>
      </c>
      <c r="B69" s="54" t="s">
        <v>3</v>
      </c>
      <c r="C69" s="55">
        <v>913731</v>
      </c>
      <c r="D69" s="55">
        <v>43796</v>
      </c>
      <c r="E69" s="55">
        <v>21561</v>
      </c>
      <c r="F69" s="55">
        <v>2021</v>
      </c>
      <c r="G69" s="55">
        <f t="shared" si="12"/>
        <v>67378</v>
      </c>
      <c r="H69" s="63">
        <v>489335</v>
      </c>
      <c r="I69" s="63">
        <v>240903</v>
      </c>
      <c r="J69" s="63">
        <v>22585</v>
      </c>
      <c r="K69" s="63">
        <f t="shared" si="13"/>
        <v>752823</v>
      </c>
      <c r="L69" s="63">
        <v>60794</v>
      </c>
      <c r="M69" s="63">
        <v>29930</v>
      </c>
      <c r="N69" s="63">
        <v>2806</v>
      </c>
      <c r="O69" s="63">
        <f t="shared" si="14"/>
        <v>93530</v>
      </c>
      <c r="R69" s="62">
        <f t="shared" si="15"/>
        <v>913731</v>
      </c>
      <c r="S69" s="62">
        <f t="shared" si="16"/>
        <v>0</v>
      </c>
    </row>
    <row r="70" spans="1:34" ht="54" customHeight="1" x14ac:dyDescent="0.25">
      <c r="A70" s="56" t="s">
        <v>30</v>
      </c>
      <c r="B70" s="54" t="s">
        <v>2</v>
      </c>
      <c r="C70" s="55">
        <v>95156</v>
      </c>
      <c r="D70" s="55">
        <v>2695</v>
      </c>
      <c r="E70" s="55">
        <v>0</v>
      </c>
      <c r="F70" s="55">
        <v>0</v>
      </c>
      <c r="G70" s="55">
        <f t="shared" si="12"/>
        <v>2695</v>
      </c>
      <c r="H70" s="63">
        <v>79662</v>
      </c>
      <c r="I70" s="63">
        <v>0</v>
      </c>
      <c r="J70" s="63">
        <v>0</v>
      </c>
      <c r="K70" s="63">
        <f t="shared" si="13"/>
        <v>79662</v>
      </c>
      <c r="L70" s="63">
        <v>12799</v>
      </c>
      <c r="M70" s="63">
        <v>0</v>
      </c>
      <c r="N70" s="63">
        <v>0</v>
      </c>
      <c r="O70" s="63">
        <f t="shared" si="14"/>
        <v>12799</v>
      </c>
      <c r="R70" s="62">
        <f t="shared" si="15"/>
        <v>95156</v>
      </c>
      <c r="S70" s="62">
        <f t="shared" si="16"/>
        <v>0</v>
      </c>
    </row>
    <row r="71" spans="1:34" ht="39.75" customHeight="1" x14ac:dyDescent="0.25">
      <c r="A71" s="56" t="s">
        <v>31</v>
      </c>
      <c r="B71" s="54" t="s">
        <v>1</v>
      </c>
      <c r="C71" s="55">
        <v>70451</v>
      </c>
      <c r="D71" s="55">
        <v>5240</v>
      </c>
      <c r="E71" s="55">
        <v>0</v>
      </c>
      <c r="F71" s="55">
        <v>0</v>
      </c>
      <c r="G71" s="55">
        <f t="shared" si="12"/>
        <v>5240</v>
      </c>
      <c r="H71" s="63">
        <v>62369</v>
      </c>
      <c r="I71" s="63">
        <v>0</v>
      </c>
      <c r="J71" s="63">
        <v>0</v>
      </c>
      <c r="K71" s="63">
        <f t="shared" si="13"/>
        <v>62369</v>
      </c>
      <c r="L71" s="63">
        <v>2842</v>
      </c>
      <c r="M71" s="63">
        <v>0</v>
      </c>
      <c r="N71" s="63">
        <v>0</v>
      </c>
      <c r="O71" s="63">
        <f t="shared" si="14"/>
        <v>2842</v>
      </c>
      <c r="R71" s="62">
        <f t="shared" si="15"/>
        <v>70451</v>
      </c>
      <c r="S71" s="62">
        <f t="shared" si="16"/>
        <v>0</v>
      </c>
    </row>
    <row r="72" spans="1:34" ht="33" customHeight="1" x14ac:dyDescent="0.25">
      <c r="A72" s="56" t="s">
        <v>32</v>
      </c>
      <c r="B72" s="54" t="s">
        <v>73</v>
      </c>
      <c r="C72" s="55">
        <v>46244</v>
      </c>
      <c r="D72" s="55">
        <v>9095</v>
      </c>
      <c r="E72" s="55">
        <v>0</v>
      </c>
      <c r="F72" s="55">
        <v>0</v>
      </c>
      <c r="G72" s="55">
        <f t="shared" si="12"/>
        <v>9095</v>
      </c>
      <c r="H72" s="63">
        <v>29775</v>
      </c>
      <c r="I72" s="63">
        <v>0</v>
      </c>
      <c r="J72" s="63">
        <v>0</v>
      </c>
      <c r="K72" s="63">
        <f t="shared" si="13"/>
        <v>29775</v>
      </c>
      <c r="L72" s="63">
        <v>7374</v>
      </c>
      <c r="M72" s="63">
        <v>0</v>
      </c>
      <c r="N72" s="63">
        <v>0</v>
      </c>
      <c r="O72" s="63">
        <f t="shared" si="14"/>
        <v>7374</v>
      </c>
      <c r="R72" s="62">
        <f t="shared" si="15"/>
        <v>46244</v>
      </c>
      <c r="S72" s="62">
        <f t="shared" si="16"/>
        <v>0</v>
      </c>
    </row>
    <row r="73" spans="1:34" ht="33" customHeight="1" x14ac:dyDescent="0.25">
      <c r="A73" s="56" t="s">
        <v>90</v>
      </c>
      <c r="B73" s="70" t="s">
        <v>91</v>
      </c>
      <c r="C73" s="55">
        <f>E73+I73+M73</f>
        <v>61662</v>
      </c>
      <c r="D73" s="55">
        <v>0</v>
      </c>
      <c r="E73" s="55">
        <v>10436</v>
      </c>
      <c r="F73" s="55">
        <v>0</v>
      </c>
      <c r="G73" s="55">
        <f t="shared" si="12"/>
        <v>10436</v>
      </c>
      <c r="H73" s="63">
        <v>0</v>
      </c>
      <c r="I73" s="63">
        <v>34306</v>
      </c>
      <c r="J73" s="63">
        <v>0</v>
      </c>
      <c r="K73" s="63">
        <f t="shared" si="13"/>
        <v>34306</v>
      </c>
      <c r="L73" s="63">
        <v>0</v>
      </c>
      <c r="M73" s="63">
        <v>16920</v>
      </c>
      <c r="N73" s="63">
        <v>0</v>
      </c>
      <c r="O73" s="63">
        <f t="shared" si="14"/>
        <v>16920</v>
      </c>
      <c r="R73" s="62">
        <f t="shared" si="15"/>
        <v>61662</v>
      </c>
      <c r="S73" s="62">
        <f>R73-C73</f>
        <v>0</v>
      </c>
    </row>
    <row r="74" spans="1:34" ht="25.5" customHeight="1" x14ac:dyDescent="0.25">
      <c r="A74" s="57"/>
      <c r="B74" s="57" t="s">
        <v>0</v>
      </c>
      <c r="C74" s="58">
        <f>SUM(C56:C73)</f>
        <v>16016119</v>
      </c>
      <c r="D74" s="58">
        <f>SUM(D56:D73)</f>
        <v>465112</v>
      </c>
      <c r="E74" s="58">
        <f t="shared" ref="E74:O74" si="17">SUM(E56:E73)</f>
        <v>1281188</v>
      </c>
      <c r="F74" s="58">
        <f t="shared" si="17"/>
        <v>18380</v>
      </c>
      <c r="G74" s="58">
        <f t="shared" si="17"/>
        <v>1764680</v>
      </c>
      <c r="H74" s="58">
        <f t="shared" si="17"/>
        <v>3253094</v>
      </c>
      <c r="I74" s="58">
        <f t="shared" si="17"/>
        <v>8574137</v>
      </c>
      <c r="J74" s="58">
        <f t="shared" si="17"/>
        <v>135234</v>
      </c>
      <c r="K74" s="58">
        <f t="shared" si="17"/>
        <v>11962465</v>
      </c>
      <c r="L74" s="58">
        <f t="shared" si="17"/>
        <v>525372</v>
      </c>
      <c r="M74" s="58">
        <f t="shared" si="17"/>
        <v>1749268</v>
      </c>
      <c r="N74" s="58">
        <f t="shared" si="17"/>
        <v>14334</v>
      </c>
      <c r="O74" s="58">
        <f t="shared" si="17"/>
        <v>2288974</v>
      </c>
      <c r="R74" s="62">
        <f t="shared" si="15"/>
        <v>16016119</v>
      </c>
      <c r="S74" s="62">
        <f t="shared" si="16"/>
        <v>0</v>
      </c>
    </row>
    <row r="76" spans="1:34" s="4" customFormat="1" ht="28.5" customHeight="1" x14ac:dyDescent="0.25">
      <c r="A76" s="152" t="s">
        <v>17</v>
      </c>
      <c r="B76" s="152" t="s">
        <v>33</v>
      </c>
      <c r="C76" s="159" t="s">
        <v>76</v>
      </c>
      <c r="D76" s="152" t="s">
        <v>69</v>
      </c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R76" s="61"/>
      <c r="S76" s="61"/>
      <c r="V76" s="61"/>
      <c r="W76" s="61"/>
      <c r="X76" s="61"/>
      <c r="Y76" s="61"/>
      <c r="Z76" s="61"/>
      <c r="AC76" s="95"/>
      <c r="AD76" s="95"/>
      <c r="AE76" s="95"/>
      <c r="AF76" s="95"/>
      <c r="AG76" s="93"/>
      <c r="AH76" s="95"/>
    </row>
    <row r="77" spans="1:34" s="4" customFormat="1" ht="41.25" customHeight="1" x14ac:dyDescent="0.25">
      <c r="A77" s="152"/>
      <c r="B77" s="152"/>
      <c r="C77" s="159"/>
      <c r="D77" s="154" t="s">
        <v>36</v>
      </c>
      <c r="E77" s="154"/>
      <c r="F77" s="154"/>
      <c r="G77" s="154"/>
      <c r="H77" s="155" t="s">
        <v>37</v>
      </c>
      <c r="I77" s="156"/>
      <c r="J77" s="156"/>
      <c r="K77" s="157"/>
      <c r="L77" s="155" t="s">
        <v>38</v>
      </c>
      <c r="M77" s="156"/>
      <c r="N77" s="156"/>
      <c r="O77" s="157"/>
      <c r="R77" s="61"/>
      <c r="S77" s="61"/>
      <c r="V77" s="61"/>
      <c r="W77" s="61"/>
      <c r="X77" s="61"/>
      <c r="Y77" s="61"/>
      <c r="Z77" s="61"/>
      <c r="AC77" s="95"/>
      <c r="AD77" s="95"/>
      <c r="AE77" s="95"/>
      <c r="AF77" s="95"/>
      <c r="AG77" s="93"/>
      <c r="AH77" s="95"/>
    </row>
    <row r="78" spans="1:34" s="4" customFormat="1" ht="59.25" customHeight="1" x14ac:dyDescent="0.25">
      <c r="A78" s="152"/>
      <c r="B78" s="152"/>
      <c r="C78" s="159"/>
      <c r="D78" s="83" t="s">
        <v>66</v>
      </c>
      <c r="E78" s="83" t="s">
        <v>67</v>
      </c>
      <c r="F78" s="83" t="s">
        <v>68</v>
      </c>
      <c r="G78" s="83" t="s">
        <v>70</v>
      </c>
      <c r="H78" s="65" t="s">
        <v>66</v>
      </c>
      <c r="I78" s="65" t="s">
        <v>67</v>
      </c>
      <c r="J78" s="65" t="s">
        <v>68</v>
      </c>
      <c r="K78" s="65" t="s">
        <v>71</v>
      </c>
      <c r="L78" s="65" t="s">
        <v>66</v>
      </c>
      <c r="M78" s="65" t="s">
        <v>67</v>
      </c>
      <c r="N78" s="65" t="s">
        <v>68</v>
      </c>
      <c r="O78" s="65" t="s">
        <v>72</v>
      </c>
      <c r="R78" s="61"/>
      <c r="S78" s="61"/>
      <c r="V78" s="61"/>
      <c r="W78" s="61"/>
      <c r="X78" s="61"/>
      <c r="Y78" s="61"/>
      <c r="Z78" s="61"/>
      <c r="AC78" s="95"/>
      <c r="AD78" s="95"/>
      <c r="AE78" s="95"/>
      <c r="AF78" s="95"/>
      <c r="AG78" s="93"/>
      <c r="AH78" s="95"/>
    </row>
    <row r="79" spans="1:34" s="3" customFormat="1" ht="14.25" customHeight="1" x14ac:dyDescent="0.25">
      <c r="A79" s="53">
        <v>1</v>
      </c>
      <c r="B79" s="53">
        <v>2</v>
      </c>
      <c r="C79" s="53">
        <v>3</v>
      </c>
      <c r="D79" s="53">
        <v>4</v>
      </c>
      <c r="E79" s="53">
        <v>5</v>
      </c>
      <c r="F79" s="53">
        <v>6</v>
      </c>
      <c r="G79" s="53">
        <v>7</v>
      </c>
      <c r="H79" s="66">
        <v>8</v>
      </c>
      <c r="I79" s="66">
        <v>9</v>
      </c>
      <c r="J79" s="66">
        <v>10</v>
      </c>
      <c r="K79" s="66">
        <v>11</v>
      </c>
      <c r="L79" s="66">
        <v>12</v>
      </c>
      <c r="M79" s="66">
        <v>13</v>
      </c>
      <c r="N79" s="66">
        <v>14</v>
      </c>
      <c r="O79" s="66">
        <v>15</v>
      </c>
      <c r="R79" s="61"/>
      <c r="S79" s="61"/>
      <c r="V79" s="61"/>
      <c r="W79" s="61"/>
      <c r="X79" s="61"/>
      <c r="Y79" s="61"/>
      <c r="Z79" s="61"/>
      <c r="AC79" s="95"/>
      <c r="AD79" s="95"/>
      <c r="AE79" s="95"/>
      <c r="AF79" s="95"/>
      <c r="AG79" s="94"/>
      <c r="AH79" s="95"/>
    </row>
    <row r="80" spans="1:34" s="3" customFormat="1" ht="25.5" customHeight="1" x14ac:dyDescent="0.25">
      <c r="A80" s="53" t="s">
        <v>16</v>
      </c>
      <c r="B80" s="54" t="s">
        <v>15</v>
      </c>
      <c r="C80" s="55">
        <f t="shared" ref="C80:N95" si="18">C7+C32+C56</f>
        <v>14463762</v>
      </c>
      <c r="D80" s="55">
        <f t="shared" si="18"/>
        <v>361977</v>
      </c>
      <c r="E80" s="55">
        <f t="shared" si="18"/>
        <v>1894804</v>
      </c>
      <c r="F80" s="55">
        <f t="shared" si="18"/>
        <v>0</v>
      </c>
      <c r="G80" s="55">
        <f>D80+E80+F80</f>
        <v>2256781</v>
      </c>
      <c r="H80" s="63">
        <f t="shared" si="18"/>
        <v>1526321</v>
      </c>
      <c r="I80" s="63">
        <f t="shared" si="18"/>
        <v>7989677</v>
      </c>
      <c r="J80" s="63">
        <f t="shared" si="18"/>
        <v>0</v>
      </c>
      <c r="K80" s="63">
        <f>H80+I80+J80</f>
        <v>9515998</v>
      </c>
      <c r="L80" s="63">
        <f t="shared" si="18"/>
        <v>431621</v>
      </c>
      <c r="M80" s="63">
        <f t="shared" si="18"/>
        <v>2259362</v>
      </c>
      <c r="N80" s="63">
        <f t="shared" si="18"/>
        <v>0</v>
      </c>
      <c r="O80" s="63">
        <f>L80+M80+N80</f>
        <v>2690983</v>
      </c>
      <c r="R80" s="62">
        <f>G80+K80+O80</f>
        <v>14463762</v>
      </c>
      <c r="S80" s="62">
        <f>R80-C80</f>
        <v>0</v>
      </c>
      <c r="V80" s="61"/>
      <c r="W80" s="61"/>
      <c r="X80" s="61"/>
      <c r="Y80" s="61"/>
      <c r="Z80" s="61"/>
      <c r="AC80" s="95"/>
      <c r="AD80" s="95"/>
      <c r="AE80" s="95"/>
      <c r="AF80" s="95"/>
      <c r="AG80" s="94"/>
      <c r="AH80" s="95"/>
    </row>
    <row r="81" spans="1:19" ht="40.5" customHeight="1" x14ac:dyDescent="0.25">
      <c r="A81" s="56" t="s">
        <v>24</v>
      </c>
      <c r="B81" s="54" t="s">
        <v>14</v>
      </c>
      <c r="C81" s="55">
        <f t="shared" si="18"/>
        <v>911606</v>
      </c>
      <c r="D81" s="55">
        <f t="shared" si="18"/>
        <v>105759</v>
      </c>
      <c r="E81" s="55">
        <f t="shared" si="18"/>
        <v>80576</v>
      </c>
      <c r="F81" s="55">
        <f t="shared" si="18"/>
        <v>2568</v>
      </c>
      <c r="G81" s="55">
        <f t="shared" ref="G81:G97" si="19">D81+E81+F81</f>
        <v>188903</v>
      </c>
      <c r="H81" s="63">
        <f t="shared" si="18"/>
        <v>310805</v>
      </c>
      <c r="I81" s="63">
        <f t="shared" si="18"/>
        <v>236796</v>
      </c>
      <c r="J81" s="63">
        <f t="shared" si="18"/>
        <v>7548</v>
      </c>
      <c r="K81" s="63">
        <f t="shared" ref="K81:K97" si="20">H81+I81+J81</f>
        <v>555149</v>
      </c>
      <c r="L81" s="63">
        <f t="shared" si="18"/>
        <v>93806</v>
      </c>
      <c r="M81" s="63">
        <f t="shared" si="18"/>
        <v>71470</v>
      </c>
      <c r="N81" s="63">
        <f t="shared" si="18"/>
        <v>2278</v>
      </c>
      <c r="O81" s="63">
        <f t="shared" ref="O81:O97" si="21">L81+M81+N81</f>
        <v>167554</v>
      </c>
      <c r="R81" s="62">
        <f t="shared" ref="R81:R98" si="22">G81+K81+O81</f>
        <v>911606</v>
      </c>
      <c r="S81" s="62">
        <f t="shared" ref="S81:S98" si="23">R81-C81</f>
        <v>0</v>
      </c>
    </row>
    <row r="82" spans="1:19" ht="34.5" customHeight="1" x14ac:dyDescent="0.25">
      <c r="A82" s="56" t="s">
        <v>23</v>
      </c>
      <c r="B82" s="54" t="s">
        <v>13</v>
      </c>
      <c r="C82" s="55">
        <f t="shared" si="18"/>
        <v>5741475</v>
      </c>
      <c r="D82" s="55">
        <f t="shared" si="18"/>
        <v>0</v>
      </c>
      <c r="E82" s="55">
        <f t="shared" si="18"/>
        <v>325427</v>
      </c>
      <c r="F82" s="55">
        <f t="shared" si="18"/>
        <v>0</v>
      </c>
      <c r="G82" s="55">
        <f t="shared" si="19"/>
        <v>325427</v>
      </c>
      <c r="H82" s="63">
        <f t="shared" si="18"/>
        <v>0</v>
      </c>
      <c r="I82" s="63">
        <f t="shared" si="18"/>
        <v>4823700</v>
      </c>
      <c r="J82" s="63">
        <f t="shared" si="18"/>
        <v>0</v>
      </c>
      <c r="K82" s="63">
        <f t="shared" si="20"/>
        <v>4823700</v>
      </c>
      <c r="L82" s="63">
        <f t="shared" si="18"/>
        <v>0</v>
      </c>
      <c r="M82" s="63">
        <f t="shared" si="18"/>
        <v>592348</v>
      </c>
      <c r="N82" s="63">
        <f t="shared" si="18"/>
        <v>0</v>
      </c>
      <c r="O82" s="63">
        <f t="shared" si="21"/>
        <v>592348</v>
      </c>
      <c r="R82" s="62">
        <f t="shared" si="22"/>
        <v>5741475</v>
      </c>
      <c r="S82" s="62">
        <f t="shared" si="23"/>
        <v>0</v>
      </c>
    </row>
    <row r="83" spans="1:19" ht="40.5" customHeight="1" x14ac:dyDescent="0.25">
      <c r="A83" s="56" t="s">
        <v>22</v>
      </c>
      <c r="B83" s="54" t="s">
        <v>12</v>
      </c>
      <c r="C83" s="55">
        <f t="shared" si="18"/>
        <v>541588</v>
      </c>
      <c r="D83" s="55">
        <f t="shared" si="18"/>
        <v>62299</v>
      </c>
      <c r="E83" s="55">
        <f t="shared" si="18"/>
        <v>0</v>
      </c>
      <c r="F83" s="55">
        <f t="shared" si="18"/>
        <v>0</v>
      </c>
      <c r="G83" s="55">
        <f t="shared" si="19"/>
        <v>62299</v>
      </c>
      <c r="H83" s="63">
        <f t="shared" si="18"/>
        <v>405172</v>
      </c>
      <c r="I83" s="63">
        <f t="shared" si="18"/>
        <v>0</v>
      </c>
      <c r="J83" s="63">
        <f t="shared" si="18"/>
        <v>0</v>
      </c>
      <c r="K83" s="63">
        <f t="shared" si="20"/>
        <v>405172</v>
      </c>
      <c r="L83" s="63">
        <f t="shared" si="18"/>
        <v>74117</v>
      </c>
      <c r="M83" s="63">
        <f t="shared" si="18"/>
        <v>0</v>
      </c>
      <c r="N83" s="63">
        <f t="shared" si="18"/>
        <v>0</v>
      </c>
      <c r="O83" s="63">
        <f t="shared" si="21"/>
        <v>74117</v>
      </c>
      <c r="R83" s="62">
        <f t="shared" si="22"/>
        <v>541588</v>
      </c>
      <c r="S83" s="62">
        <f t="shared" si="23"/>
        <v>0</v>
      </c>
    </row>
    <row r="84" spans="1:19" ht="39.75" customHeight="1" x14ac:dyDescent="0.25">
      <c r="A84" s="56" t="s">
        <v>21</v>
      </c>
      <c r="B84" s="54" t="s">
        <v>11</v>
      </c>
      <c r="C84" s="55">
        <f t="shared" si="18"/>
        <v>491901</v>
      </c>
      <c r="D84" s="55">
        <f t="shared" si="18"/>
        <v>19190</v>
      </c>
      <c r="E84" s="55">
        <f t="shared" si="18"/>
        <v>30492</v>
      </c>
      <c r="F84" s="55">
        <f t="shared" si="18"/>
        <v>13208</v>
      </c>
      <c r="G84" s="55">
        <f t="shared" si="19"/>
        <v>62890</v>
      </c>
      <c r="H84" s="63">
        <f t="shared" si="18"/>
        <v>101797</v>
      </c>
      <c r="I84" s="63">
        <f t="shared" si="18"/>
        <v>161749</v>
      </c>
      <c r="J84" s="63">
        <f t="shared" si="18"/>
        <v>70066</v>
      </c>
      <c r="K84" s="63">
        <f t="shared" si="20"/>
        <v>333612</v>
      </c>
      <c r="L84" s="63">
        <f t="shared" si="18"/>
        <v>29110</v>
      </c>
      <c r="M84" s="63">
        <f t="shared" si="18"/>
        <v>46253</v>
      </c>
      <c r="N84" s="63">
        <f t="shared" si="18"/>
        <v>20036</v>
      </c>
      <c r="O84" s="63">
        <f t="shared" si="21"/>
        <v>95399</v>
      </c>
      <c r="R84" s="62">
        <f t="shared" si="22"/>
        <v>491901</v>
      </c>
      <c r="S84" s="62">
        <f t="shared" si="23"/>
        <v>0</v>
      </c>
    </row>
    <row r="85" spans="1:19" ht="28.5" customHeight="1" x14ac:dyDescent="0.25">
      <c r="A85" s="56" t="s">
        <v>20</v>
      </c>
      <c r="B85" s="54" t="s">
        <v>34</v>
      </c>
      <c r="C85" s="55">
        <f t="shared" si="18"/>
        <v>960135</v>
      </c>
      <c r="D85" s="55">
        <f t="shared" si="18"/>
        <v>179717</v>
      </c>
      <c r="E85" s="55">
        <f t="shared" si="18"/>
        <v>0</v>
      </c>
      <c r="F85" s="55">
        <f t="shared" si="18"/>
        <v>0</v>
      </c>
      <c r="G85" s="55">
        <f t="shared" si="19"/>
        <v>179717</v>
      </c>
      <c r="H85" s="63">
        <f t="shared" si="18"/>
        <v>586615</v>
      </c>
      <c r="I85" s="63">
        <f t="shared" si="18"/>
        <v>0</v>
      </c>
      <c r="J85" s="63">
        <f t="shared" si="18"/>
        <v>0</v>
      </c>
      <c r="K85" s="63">
        <f t="shared" si="20"/>
        <v>586615</v>
      </c>
      <c r="L85" s="63">
        <f t="shared" si="18"/>
        <v>193803</v>
      </c>
      <c r="M85" s="63">
        <f t="shared" si="18"/>
        <v>0</v>
      </c>
      <c r="N85" s="63">
        <f t="shared" si="18"/>
        <v>0</v>
      </c>
      <c r="O85" s="63">
        <f t="shared" si="21"/>
        <v>193803</v>
      </c>
      <c r="R85" s="62">
        <f t="shared" si="22"/>
        <v>960135</v>
      </c>
      <c r="S85" s="62">
        <f t="shared" si="23"/>
        <v>0</v>
      </c>
    </row>
    <row r="86" spans="1:19" ht="34.5" customHeight="1" x14ac:dyDescent="0.25">
      <c r="A86" s="56" t="s">
        <v>19</v>
      </c>
      <c r="B86" s="54" t="s">
        <v>10</v>
      </c>
      <c r="C86" s="55">
        <f t="shared" si="18"/>
        <v>3404848</v>
      </c>
      <c r="D86" s="55">
        <f t="shared" si="18"/>
        <v>73961</v>
      </c>
      <c r="E86" s="55">
        <f t="shared" si="18"/>
        <v>96737</v>
      </c>
      <c r="F86" s="55">
        <f t="shared" si="18"/>
        <v>4549</v>
      </c>
      <c r="G86" s="55">
        <f t="shared" si="19"/>
        <v>175247</v>
      </c>
      <c r="H86" s="63">
        <f t="shared" si="18"/>
        <v>1150329</v>
      </c>
      <c r="I86" s="63">
        <f t="shared" si="18"/>
        <v>1504580</v>
      </c>
      <c r="J86" s="63">
        <f t="shared" si="18"/>
        <v>70739</v>
      </c>
      <c r="K86" s="63">
        <f t="shared" si="20"/>
        <v>2725648</v>
      </c>
      <c r="L86" s="63">
        <f t="shared" si="18"/>
        <v>212688</v>
      </c>
      <c r="M86" s="63">
        <f t="shared" si="18"/>
        <v>278186</v>
      </c>
      <c r="N86" s="63">
        <f t="shared" si="18"/>
        <v>13079</v>
      </c>
      <c r="O86" s="63">
        <f t="shared" si="21"/>
        <v>503953</v>
      </c>
      <c r="R86" s="62">
        <f t="shared" si="22"/>
        <v>3404848</v>
      </c>
      <c r="S86" s="62">
        <f t="shared" si="23"/>
        <v>0</v>
      </c>
    </row>
    <row r="87" spans="1:19" ht="25.5" customHeight="1" x14ac:dyDescent="0.25">
      <c r="A87" s="56" t="s">
        <v>18</v>
      </c>
      <c r="B87" s="54" t="s">
        <v>9</v>
      </c>
      <c r="C87" s="55">
        <f t="shared" si="18"/>
        <v>2774662</v>
      </c>
      <c r="D87" s="55">
        <f t="shared" si="18"/>
        <v>257350</v>
      </c>
      <c r="E87" s="55">
        <f t="shared" si="18"/>
        <v>399877</v>
      </c>
      <c r="F87" s="55">
        <f t="shared" si="18"/>
        <v>11079</v>
      </c>
      <c r="G87" s="55">
        <f t="shared" si="19"/>
        <v>668306</v>
      </c>
      <c r="H87" s="63">
        <f t="shared" si="18"/>
        <v>804123</v>
      </c>
      <c r="I87" s="63">
        <f t="shared" si="18"/>
        <v>1249469</v>
      </c>
      <c r="J87" s="63">
        <f t="shared" si="18"/>
        <v>34618</v>
      </c>
      <c r="K87" s="63">
        <f t="shared" si="20"/>
        <v>2088210</v>
      </c>
      <c r="L87" s="63">
        <f t="shared" si="18"/>
        <v>6987</v>
      </c>
      <c r="M87" s="63">
        <f t="shared" si="18"/>
        <v>10858</v>
      </c>
      <c r="N87" s="63">
        <f t="shared" si="18"/>
        <v>301</v>
      </c>
      <c r="O87" s="63">
        <f t="shared" si="21"/>
        <v>18146</v>
      </c>
      <c r="R87" s="62">
        <f t="shared" si="22"/>
        <v>2774662</v>
      </c>
      <c r="S87" s="62">
        <f t="shared" si="23"/>
        <v>0</v>
      </c>
    </row>
    <row r="88" spans="1:19" ht="25.5" customHeight="1" x14ac:dyDescent="0.25">
      <c r="A88" s="56" t="s">
        <v>25</v>
      </c>
      <c r="B88" s="54" t="s">
        <v>8</v>
      </c>
      <c r="C88" s="55">
        <f t="shared" si="18"/>
        <v>4632132</v>
      </c>
      <c r="D88" s="55">
        <f t="shared" si="18"/>
        <v>35873</v>
      </c>
      <c r="E88" s="55">
        <f t="shared" si="18"/>
        <v>147097</v>
      </c>
      <c r="F88" s="55">
        <f t="shared" si="18"/>
        <v>0</v>
      </c>
      <c r="G88" s="55">
        <f t="shared" si="19"/>
        <v>182970</v>
      </c>
      <c r="H88" s="63">
        <f t="shared" si="18"/>
        <v>582212</v>
      </c>
      <c r="I88" s="63">
        <f t="shared" si="18"/>
        <v>2387354</v>
      </c>
      <c r="J88" s="63">
        <f t="shared" si="18"/>
        <v>0</v>
      </c>
      <c r="K88" s="63">
        <f t="shared" si="20"/>
        <v>2969566</v>
      </c>
      <c r="L88" s="63">
        <f t="shared" si="18"/>
        <v>290089</v>
      </c>
      <c r="M88" s="63">
        <f t="shared" si="18"/>
        <v>1189507</v>
      </c>
      <c r="N88" s="63">
        <f t="shared" si="18"/>
        <v>0</v>
      </c>
      <c r="O88" s="63">
        <f t="shared" si="21"/>
        <v>1479596</v>
      </c>
      <c r="R88" s="62">
        <f t="shared" si="22"/>
        <v>4632132</v>
      </c>
      <c r="S88" s="62">
        <f t="shared" si="23"/>
        <v>0</v>
      </c>
    </row>
    <row r="89" spans="1:19" ht="25.5" customHeight="1" x14ac:dyDescent="0.25">
      <c r="A89" s="56" t="s">
        <v>26</v>
      </c>
      <c r="B89" s="54" t="s">
        <v>7</v>
      </c>
      <c r="C89" s="55">
        <f t="shared" si="18"/>
        <v>2932532</v>
      </c>
      <c r="D89" s="55">
        <f t="shared" si="18"/>
        <v>6362</v>
      </c>
      <c r="E89" s="55">
        <f t="shared" si="18"/>
        <v>47215</v>
      </c>
      <c r="F89" s="55">
        <f t="shared" si="18"/>
        <v>0</v>
      </c>
      <c r="G89" s="55">
        <f t="shared" si="19"/>
        <v>53577</v>
      </c>
      <c r="H89" s="63">
        <f t="shared" si="18"/>
        <v>310826</v>
      </c>
      <c r="I89" s="63">
        <f t="shared" si="18"/>
        <v>2306694</v>
      </c>
      <c r="J89" s="63">
        <f t="shared" si="18"/>
        <v>0</v>
      </c>
      <c r="K89" s="63">
        <f t="shared" si="20"/>
        <v>2617520</v>
      </c>
      <c r="L89" s="63">
        <f t="shared" si="18"/>
        <v>31045</v>
      </c>
      <c r="M89" s="63">
        <f t="shared" si="18"/>
        <v>230390</v>
      </c>
      <c r="N89" s="63">
        <f t="shared" si="18"/>
        <v>0</v>
      </c>
      <c r="O89" s="63">
        <f t="shared" si="21"/>
        <v>261435</v>
      </c>
      <c r="R89" s="62">
        <f t="shared" si="22"/>
        <v>2932532</v>
      </c>
      <c r="S89" s="62">
        <f t="shared" si="23"/>
        <v>0</v>
      </c>
    </row>
    <row r="90" spans="1:19" ht="25.5" customHeight="1" x14ac:dyDescent="0.25">
      <c r="A90" s="56" t="s">
        <v>27</v>
      </c>
      <c r="B90" s="54" t="s">
        <v>6</v>
      </c>
      <c r="C90" s="55">
        <f t="shared" si="18"/>
        <v>2027143</v>
      </c>
      <c r="D90" s="55">
        <f t="shared" si="18"/>
        <v>8365</v>
      </c>
      <c r="E90" s="55">
        <f t="shared" si="18"/>
        <v>5537</v>
      </c>
      <c r="F90" s="55">
        <f t="shared" si="18"/>
        <v>226</v>
      </c>
      <c r="G90" s="55">
        <f t="shared" si="19"/>
        <v>14128</v>
      </c>
      <c r="H90" s="63">
        <f t="shared" si="18"/>
        <v>1190010</v>
      </c>
      <c r="I90" s="63">
        <f t="shared" si="18"/>
        <v>787817</v>
      </c>
      <c r="J90" s="63">
        <f t="shared" si="18"/>
        <v>32148</v>
      </c>
      <c r="K90" s="63">
        <f t="shared" si="20"/>
        <v>2009975</v>
      </c>
      <c r="L90" s="63">
        <f t="shared" si="18"/>
        <v>1800</v>
      </c>
      <c r="M90" s="63">
        <f t="shared" si="18"/>
        <v>1192</v>
      </c>
      <c r="N90" s="63">
        <f t="shared" si="18"/>
        <v>48</v>
      </c>
      <c r="O90" s="63">
        <f t="shared" si="21"/>
        <v>3040</v>
      </c>
      <c r="R90" s="62">
        <f t="shared" si="22"/>
        <v>2027143</v>
      </c>
      <c r="S90" s="62">
        <f t="shared" si="23"/>
        <v>0</v>
      </c>
    </row>
    <row r="91" spans="1:19" ht="25.5" customHeight="1" x14ac:dyDescent="0.25">
      <c r="A91" s="56" t="s">
        <v>28</v>
      </c>
      <c r="B91" s="54" t="s">
        <v>5</v>
      </c>
      <c r="C91" s="55">
        <f t="shared" si="18"/>
        <v>2470768</v>
      </c>
      <c r="D91" s="55">
        <f t="shared" si="18"/>
        <v>83667</v>
      </c>
      <c r="E91" s="55">
        <f t="shared" si="18"/>
        <v>242780</v>
      </c>
      <c r="F91" s="55">
        <f t="shared" si="18"/>
        <v>15384</v>
      </c>
      <c r="G91" s="55">
        <f t="shared" si="19"/>
        <v>341831</v>
      </c>
      <c r="H91" s="63">
        <f t="shared" si="18"/>
        <v>516007</v>
      </c>
      <c r="I91" s="63">
        <f t="shared" si="18"/>
        <v>1497319</v>
      </c>
      <c r="J91" s="63">
        <f t="shared" si="18"/>
        <v>94881</v>
      </c>
      <c r="K91" s="63">
        <f t="shared" si="20"/>
        <v>2108207</v>
      </c>
      <c r="L91" s="63">
        <f t="shared" si="18"/>
        <v>5074</v>
      </c>
      <c r="M91" s="63">
        <f t="shared" si="18"/>
        <v>14723</v>
      </c>
      <c r="N91" s="63">
        <f t="shared" si="18"/>
        <v>933</v>
      </c>
      <c r="O91" s="63">
        <f t="shared" si="21"/>
        <v>20730</v>
      </c>
      <c r="R91" s="62">
        <f t="shared" si="22"/>
        <v>2470768</v>
      </c>
      <c r="S91" s="62">
        <f t="shared" si="23"/>
        <v>0</v>
      </c>
    </row>
    <row r="92" spans="1:19" ht="25.5" customHeight="1" x14ac:dyDescent="0.25">
      <c r="A92" s="56" t="s">
        <v>29</v>
      </c>
      <c r="B92" s="54" t="s">
        <v>4</v>
      </c>
      <c r="C92" s="55">
        <f t="shared" si="18"/>
        <v>1995823</v>
      </c>
      <c r="D92" s="55">
        <f t="shared" si="18"/>
        <v>38702</v>
      </c>
      <c r="E92" s="55">
        <f t="shared" si="18"/>
        <v>65208</v>
      </c>
      <c r="F92" s="55">
        <f t="shared" si="18"/>
        <v>2708</v>
      </c>
      <c r="G92" s="55">
        <f t="shared" si="19"/>
        <v>106618</v>
      </c>
      <c r="H92" s="63">
        <f t="shared" si="18"/>
        <v>663127</v>
      </c>
      <c r="I92" s="63">
        <f t="shared" si="18"/>
        <v>1117268</v>
      </c>
      <c r="J92" s="63">
        <f t="shared" si="18"/>
        <v>46400</v>
      </c>
      <c r="K92" s="63">
        <f t="shared" si="20"/>
        <v>1826795</v>
      </c>
      <c r="L92" s="63">
        <f t="shared" si="18"/>
        <v>22655</v>
      </c>
      <c r="M92" s="63">
        <f t="shared" si="18"/>
        <v>38169</v>
      </c>
      <c r="N92" s="63">
        <f t="shared" si="18"/>
        <v>1586</v>
      </c>
      <c r="O92" s="63">
        <f t="shared" si="21"/>
        <v>62410</v>
      </c>
      <c r="R92" s="62">
        <f t="shared" si="22"/>
        <v>1995823</v>
      </c>
      <c r="S92" s="62">
        <f t="shared" si="23"/>
        <v>0</v>
      </c>
    </row>
    <row r="93" spans="1:19" ht="25.5" customHeight="1" x14ac:dyDescent="0.25">
      <c r="A93" s="56">
        <v>14</v>
      </c>
      <c r="B93" s="54" t="s">
        <v>3</v>
      </c>
      <c r="C93" s="55">
        <f t="shared" si="18"/>
        <v>2741193</v>
      </c>
      <c r="D93" s="55">
        <f t="shared" si="18"/>
        <v>131388</v>
      </c>
      <c r="E93" s="55">
        <f t="shared" si="18"/>
        <v>64683</v>
      </c>
      <c r="F93" s="55">
        <f t="shared" si="18"/>
        <v>6065</v>
      </c>
      <c r="G93" s="55">
        <f t="shared" si="19"/>
        <v>202136</v>
      </c>
      <c r="H93" s="63">
        <f t="shared" si="18"/>
        <v>1468005</v>
      </c>
      <c r="I93" s="63">
        <f t="shared" si="18"/>
        <v>722709</v>
      </c>
      <c r="J93" s="63">
        <f t="shared" si="18"/>
        <v>67755</v>
      </c>
      <c r="K93" s="63">
        <f t="shared" si="20"/>
        <v>2258469</v>
      </c>
      <c r="L93" s="63">
        <f t="shared" si="18"/>
        <v>182382</v>
      </c>
      <c r="M93" s="63">
        <f t="shared" si="18"/>
        <v>89788</v>
      </c>
      <c r="N93" s="63">
        <f t="shared" si="18"/>
        <v>8418</v>
      </c>
      <c r="O93" s="63">
        <f t="shared" si="21"/>
        <v>280588</v>
      </c>
      <c r="R93" s="62">
        <f t="shared" si="22"/>
        <v>2741193</v>
      </c>
      <c r="S93" s="62">
        <f t="shared" si="23"/>
        <v>0</v>
      </c>
    </row>
    <row r="94" spans="1:19" ht="54" customHeight="1" x14ac:dyDescent="0.25">
      <c r="A94" s="56" t="s">
        <v>30</v>
      </c>
      <c r="B94" s="54" t="s">
        <v>2</v>
      </c>
      <c r="C94" s="55">
        <f t="shared" si="18"/>
        <v>340043</v>
      </c>
      <c r="D94" s="55">
        <f t="shared" si="18"/>
        <v>9630</v>
      </c>
      <c r="E94" s="55">
        <f t="shared" si="18"/>
        <v>0</v>
      </c>
      <c r="F94" s="55">
        <f t="shared" si="18"/>
        <v>0</v>
      </c>
      <c r="G94" s="55">
        <f t="shared" si="19"/>
        <v>9630</v>
      </c>
      <c r="H94" s="63">
        <f t="shared" si="18"/>
        <v>284675</v>
      </c>
      <c r="I94" s="63">
        <f t="shared" si="18"/>
        <v>0</v>
      </c>
      <c r="J94" s="63">
        <f t="shared" si="18"/>
        <v>0</v>
      </c>
      <c r="K94" s="63">
        <f t="shared" si="20"/>
        <v>284675</v>
      </c>
      <c r="L94" s="63">
        <f t="shared" si="18"/>
        <v>45738</v>
      </c>
      <c r="M94" s="63">
        <f t="shared" si="18"/>
        <v>0</v>
      </c>
      <c r="N94" s="63">
        <f t="shared" si="18"/>
        <v>0</v>
      </c>
      <c r="O94" s="63">
        <f t="shared" si="21"/>
        <v>45738</v>
      </c>
      <c r="R94" s="62">
        <f t="shared" si="22"/>
        <v>340043</v>
      </c>
      <c r="S94" s="62">
        <f t="shared" si="23"/>
        <v>0</v>
      </c>
    </row>
    <row r="95" spans="1:19" ht="39.75" customHeight="1" x14ac:dyDescent="0.25">
      <c r="A95" s="56" t="s">
        <v>31</v>
      </c>
      <c r="B95" s="54" t="s">
        <v>1</v>
      </c>
      <c r="C95" s="55">
        <f t="shared" si="18"/>
        <v>256758</v>
      </c>
      <c r="D95" s="55">
        <f t="shared" si="18"/>
        <v>19097</v>
      </c>
      <c r="E95" s="55">
        <f t="shared" si="18"/>
        <v>0</v>
      </c>
      <c r="F95" s="55">
        <f t="shared" si="18"/>
        <v>0</v>
      </c>
      <c r="G95" s="55">
        <f t="shared" si="19"/>
        <v>19097</v>
      </c>
      <c r="H95" s="63">
        <f t="shared" si="18"/>
        <v>227303</v>
      </c>
      <c r="I95" s="63">
        <f t="shared" si="18"/>
        <v>0</v>
      </c>
      <c r="J95" s="63">
        <f t="shared" si="18"/>
        <v>0</v>
      </c>
      <c r="K95" s="63">
        <f t="shared" si="20"/>
        <v>227303</v>
      </c>
      <c r="L95" s="63">
        <f t="shared" si="18"/>
        <v>10358</v>
      </c>
      <c r="M95" s="63">
        <f t="shared" si="18"/>
        <v>0</v>
      </c>
      <c r="N95" s="63">
        <f t="shared" si="18"/>
        <v>0</v>
      </c>
      <c r="O95" s="63">
        <f t="shared" si="21"/>
        <v>10358</v>
      </c>
      <c r="R95" s="62">
        <f t="shared" si="22"/>
        <v>256758</v>
      </c>
      <c r="S95" s="62">
        <f t="shared" si="23"/>
        <v>0</v>
      </c>
    </row>
    <row r="96" spans="1:19" ht="33" customHeight="1" x14ac:dyDescent="0.25">
      <c r="A96" s="56" t="s">
        <v>32</v>
      </c>
      <c r="B96" s="54" t="s">
        <v>73</v>
      </c>
      <c r="C96" s="55">
        <f t="shared" ref="C96:F97" si="24">C23+C48+C72</f>
        <v>518509</v>
      </c>
      <c r="D96" s="55">
        <f t="shared" si="24"/>
        <v>101984</v>
      </c>
      <c r="E96" s="55">
        <f t="shared" si="24"/>
        <v>0</v>
      </c>
      <c r="F96" s="55">
        <f t="shared" si="24"/>
        <v>0</v>
      </c>
      <c r="G96" s="55">
        <f t="shared" si="19"/>
        <v>101984</v>
      </c>
      <c r="H96" s="63">
        <f t="shared" ref="H96:J97" si="25">H23+H48+H72</f>
        <v>333848</v>
      </c>
      <c r="I96" s="63">
        <f t="shared" si="25"/>
        <v>0</v>
      </c>
      <c r="J96" s="63">
        <f t="shared" si="25"/>
        <v>0</v>
      </c>
      <c r="K96" s="63">
        <f t="shared" si="20"/>
        <v>333848</v>
      </c>
      <c r="L96" s="63">
        <f t="shared" ref="L96:N97" si="26">L23+L48+L72</f>
        <v>82677</v>
      </c>
      <c r="M96" s="63">
        <f t="shared" si="26"/>
        <v>0</v>
      </c>
      <c r="N96" s="63">
        <f t="shared" si="26"/>
        <v>0</v>
      </c>
      <c r="O96" s="63">
        <f t="shared" si="21"/>
        <v>82677</v>
      </c>
      <c r="R96" s="62">
        <f t="shared" si="22"/>
        <v>518509</v>
      </c>
      <c r="S96" s="62">
        <f t="shared" si="23"/>
        <v>0</v>
      </c>
    </row>
    <row r="97" spans="1:34" ht="33" customHeight="1" x14ac:dyDescent="0.25">
      <c r="A97" s="56" t="s">
        <v>90</v>
      </c>
      <c r="B97" s="70" t="s">
        <v>91</v>
      </c>
      <c r="C97" s="55">
        <f>E97+I97+M97</f>
        <v>184985</v>
      </c>
      <c r="D97" s="55">
        <f t="shared" si="24"/>
        <v>0</v>
      </c>
      <c r="E97" s="55">
        <f>E24+E49+E73</f>
        <v>31304</v>
      </c>
      <c r="F97" s="55">
        <f t="shared" si="24"/>
        <v>0</v>
      </c>
      <c r="G97" s="55">
        <f t="shared" si="19"/>
        <v>31304</v>
      </c>
      <c r="H97" s="63">
        <f t="shared" si="25"/>
        <v>0</v>
      </c>
      <c r="I97" s="63">
        <f t="shared" si="25"/>
        <v>102921</v>
      </c>
      <c r="J97" s="63">
        <f t="shared" si="25"/>
        <v>0</v>
      </c>
      <c r="K97" s="63">
        <f t="shared" si="20"/>
        <v>102921</v>
      </c>
      <c r="L97" s="63">
        <f t="shared" si="26"/>
        <v>0</v>
      </c>
      <c r="M97" s="63">
        <f t="shared" si="26"/>
        <v>50760</v>
      </c>
      <c r="N97" s="63">
        <f t="shared" si="26"/>
        <v>0</v>
      </c>
      <c r="O97" s="63">
        <f t="shared" si="21"/>
        <v>50760</v>
      </c>
      <c r="R97" s="62">
        <f t="shared" si="22"/>
        <v>184985</v>
      </c>
      <c r="S97" s="62">
        <f>R97-C97</f>
        <v>0</v>
      </c>
    </row>
    <row r="98" spans="1:34" ht="25.5" customHeight="1" x14ac:dyDescent="0.25">
      <c r="A98" s="57"/>
      <c r="B98" s="57" t="s">
        <v>0</v>
      </c>
      <c r="C98" s="58">
        <f>SUM(C80:C97)</f>
        <v>47389863</v>
      </c>
      <c r="D98" s="58">
        <f t="shared" ref="D98:O98" si="27">SUM(D80:D97)</f>
        <v>1495321</v>
      </c>
      <c r="E98" s="58">
        <f t="shared" si="27"/>
        <v>3431737</v>
      </c>
      <c r="F98" s="58">
        <f t="shared" si="27"/>
        <v>55787</v>
      </c>
      <c r="G98" s="58">
        <f t="shared" si="27"/>
        <v>4982845</v>
      </c>
      <c r="H98" s="58">
        <f t="shared" si="27"/>
        <v>10461175</v>
      </c>
      <c r="I98" s="58">
        <f t="shared" si="27"/>
        <v>24888053</v>
      </c>
      <c r="J98" s="58">
        <f t="shared" si="27"/>
        <v>424155</v>
      </c>
      <c r="K98" s="58">
        <f t="shared" si="27"/>
        <v>35773383</v>
      </c>
      <c r="L98" s="58">
        <f t="shared" si="27"/>
        <v>1713950</v>
      </c>
      <c r="M98" s="58">
        <f t="shared" si="27"/>
        <v>4873006</v>
      </c>
      <c r="N98" s="58">
        <f t="shared" si="27"/>
        <v>46679</v>
      </c>
      <c r="O98" s="58">
        <f t="shared" si="27"/>
        <v>6633635</v>
      </c>
      <c r="R98" s="62">
        <f t="shared" si="22"/>
        <v>47389863</v>
      </c>
      <c r="S98" s="62">
        <f t="shared" si="23"/>
        <v>0</v>
      </c>
    </row>
    <row r="100" spans="1:34" s="4" customFormat="1" ht="28.5" customHeight="1" x14ac:dyDescent="0.25">
      <c r="A100" s="152" t="s">
        <v>17</v>
      </c>
      <c r="B100" s="152" t="s">
        <v>33</v>
      </c>
      <c r="C100" s="152" t="s">
        <v>77</v>
      </c>
      <c r="D100" s="152" t="s">
        <v>69</v>
      </c>
      <c r="E100" s="152"/>
      <c r="F100" s="152"/>
      <c r="G100" s="152"/>
      <c r="H100" s="152"/>
      <c r="I100" s="152"/>
      <c r="J100" s="152"/>
      <c r="K100" s="152"/>
      <c r="L100" s="152"/>
      <c r="M100" s="152"/>
      <c r="N100" s="152"/>
      <c r="O100" s="152"/>
      <c r="R100" s="61"/>
      <c r="S100" s="61"/>
      <c r="V100" s="61"/>
      <c r="W100" s="61"/>
      <c r="X100" s="61"/>
      <c r="Y100" s="61"/>
      <c r="Z100" s="61"/>
      <c r="AC100" s="95"/>
      <c r="AD100" s="95"/>
      <c r="AE100" s="95"/>
      <c r="AF100" s="95"/>
      <c r="AG100" s="93"/>
      <c r="AH100" s="95"/>
    </row>
    <row r="101" spans="1:34" s="4" customFormat="1" ht="41.25" customHeight="1" x14ac:dyDescent="0.25">
      <c r="A101" s="152"/>
      <c r="B101" s="152"/>
      <c r="C101" s="152"/>
      <c r="D101" s="154" t="s">
        <v>36</v>
      </c>
      <c r="E101" s="154"/>
      <c r="F101" s="154"/>
      <c r="G101" s="154"/>
      <c r="H101" s="155" t="s">
        <v>37</v>
      </c>
      <c r="I101" s="156"/>
      <c r="J101" s="156"/>
      <c r="K101" s="157"/>
      <c r="L101" s="155" t="s">
        <v>38</v>
      </c>
      <c r="M101" s="156"/>
      <c r="N101" s="156"/>
      <c r="O101" s="157"/>
      <c r="R101" s="61"/>
      <c r="S101" s="61"/>
      <c r="V101" s="61"/>
      <c r="W101" s="61"/>
      <c r="X101" s="61"/>
      <c r="Y101" s="61"/>
      <c r="Z101" s="61"/>
      <c r="AC101" s="95"/>
      <c r="AD101" s="95"/>
      <c r="AE101" s="95"/>
      <c r="AF101" s="95"/>
      <c r="AG101" s="93"/>
      <c r="AH101" s="95"/>
    </row>
    <row r="102" spans="1:34" s="4" customFormat="1" ht="59.25" customHeight="1" x14ac:dyDescent="0.25">
      <c r="A102" s="152"/>
      <c r="B102" s="152"/>
      <c r="C102" s="152"/>
      <c r="D102" s="83" t="s">
        <v>66</v>
      </c>
      <c r="E102" s="83" t="s">
        <v>67</v>
      </c>
      <c r="F102" s="83" t="s">
        <v>68</v>
      </c>
      <c r="G102" s="83" t="s">
        <v>70</v>
      </c>
      <c r="H102" s="65" t="s">
        <v>66</v>
      </c>
      <c r="I102" s="65" t="s">
        <v>67</v>
      </c>
      <c r="J102" s="65" t="s">
        <v>68</v>
      </c>
      <c r="K102" s="65" t="s">
        <v>71</v>
      </c>
      <c r="L102" s="65" t="s">
        <v>66</v>
      </c>
      <c r="M102" s="65" t="s">
        <v>67</v>
      </c>
      <c r="N102" s="65" t="s">
        <v>68</v>
      </c>
      <c r="O102" s="65" t="s">
        <v>72</v>
      </c>
      <c r="R102" s="61"/>
      <c r="S102" s="61"/>
      <c r="V102" s="61"/>
      <c r="W102" s="61"/>
      <c r="X102" s="61"/>
      <c r="Y102" s="61"/>
      <c r="Z102" s="61"/>
      <c r="AC102" s="95"/>
      <c r="AD102" s="95"/>
      <c r="AE102" s="95"/>
      <c r="AF102" s="95"/>
      <c r="AG102" s="93"/>
      <c r="AH102" s="95"/>
    </row>
    <row r="103" spans="1:34" s="3" customFormat="1" ht="14.25" customHeight="1" x14ac:dyDescent="0.25">
      <c r="A103" s="53">
        <v>1</v>
      </c>
      <c r="B103" s="53">
        <v>2</v>
      </c>
      <c r="C103" s="53">
        <v>3</v>
      </c>
      <c r="D103" s="53">
        <v>4</v>
      </c>
      <c r="E103" s="53">
        <v>5</v>
      </c>
      <c r="F103" s="53">
        <v>6</v>
      </c>
      <c r="G103" s="53">
        <v>7</v>
      </c>
      <c r="H103" s="66">
        <v>8</v>
      </c>
      <c r="I103" s="66">
        <v>9</v>
      </c>
      <c r="J103" s="66">
        <v>10</v>
      </c>
      <c r="K103" s="66">
        <v>11</v>
      </c>
      <c r="L103" s="66">
        <v>12</v>
      </c>
      <c r="M103" s="66">
        <v>13</v>
      </c>
      <c r="N103" s="66">
        <v>14</v>
      </c>
      <c r="O103" s="66">
        <v>15</v>
      </c>
      <c r="R103" s="61"/>
      <c r="S103" s="61"/>
      <c r="V103" s="61"/>
      <c r="W103" s="61"/>
      <c r="X103" s="61"/>
      <c r="Y103" s="61"/>
      <c r="Z103" s="61"/>
      <c r="AC103" s="95"/>
      <c r="AD103" s="95"/>
      <c r="AE103" s="95"/>
      <c r="AF103" s="95"/>
      <c r="AG103" s="94"/>
      <c r="AH103" s="95"/>
    </row>
    <row r="104" spans="1:34" s="3" customFormat="1" ht="25.5" customHeight="1" x14ac:dyDescent="0.25">
      <c r="A104" s="53" t="s">
        <v>16</v>
      </c>
      <c r="B104" s="54" t="s">
        <v>15</v>
      </c>
      <c r="C104" s="55">
        <v>5384047</v>
      </c>
      <c r="D104" s="55">
        <v>93752</v>
      </c>
      <c r="E104" s="55">
        <v>746321</v>
      </c>
      <c r="F104" s="55">
        <v>0</v>
      </c>
      <c r="G104" s="55">
        <f>D104+E104+F104</f>
        <v>840073</v>
      </c>
      <c r="H104" s="63">
        <v>395318</v>
      </c>
      <c r="I104" s="63">
        <v>3146954</v>
      </c>
      <c r="J104" s="63">
        <v>0</v>
      </c>
      <c r="K104" s="63">
        <f>H104+I104+J104</f>
        <v>3542272</v>
      </c>
      <c r="L104" s="63">
        <v>111790</v>
      </c>
      <c r="M104" s="63">
        <v>889912</v>
      </c>
      <c r="N104" s="63">
        <v>0</v>
      </c>
      <c r="O104" s="63">
        <f>L104+M104+N104</f>
        <v>1001702</v>
      </c>
      <c r="R104" s="62">
        <f>G104+K104+O104</f>
        <v>5384047</v>
      </c>
      <c r="S104" s="62">
        <f>R104-C104</f>
        <v>0</v>
      </c>
      <c r="V104" s="61"/>
      <c r="W104" s="61"/>
      <c r="X104" s="61"/>
      <c r="Y104" s="61"/>
      <c r="Z104" s="61"/>
      <c r="AC104" s="95"/>
      <c r="AD104" s="95"/>
      <c r="AE104" s="95"/>
      <c r="AF104" s="95"/>
      <c r="AG104" s="94"/>
      <c r="AH104" s="95"/>
    </row>
    <row r="105" spans="1:34" ht="40.5" customHeight="1" x14ac:dyDescent="0.25">
      <c r="A105" s="56" t="s">
        <v>24</v>
      </c>
      <c r="B105" s="54" t="s">
        <v>14</v>
      </c>
      <c r="C105" s="55">
        <v>288658</v>
      </c>
      <c r="D105" s="55">
        <v>32103</v>
      </c>
      <c r="E105" s="55">
        <v>26857</v>
      </c>
      <c r="F105" s="55">
        <v>855</v>
      </c>
      <c r="G105" s="55">
        <f t="shared" ref="G105:G121" si="28">D105+E105+F105</f>
        <v>59815</v>
      </c>
      <c r="H105" s="63">
        <v>94345</v>
      </c>
      <c r="I105" s="63">
        <v>78928</v>
      </c>
      <c r="J105" s="63">
        <v>2514</v>
      </c>
      <c r="K105" s="63">
        <f t="shared" ref="K105:K121" si="29">H105+I105+J105</f>
        <v>175787</v>
      </c>
      <c r="L105" s="63">
        <v>28475</v>
      </c>
      <c r="M105" s="63">
        <v>23822</v>
      </c>
      <c r="N105" s="63">
        <v>759</v>
      </c>
      <c r="O105" s="63">
        <f t="shared" ref="O105:O121" si="30">L105+M105+N105</f>
        <v>53056</v>
      </c>
      <c r="R105" s="62">
        <f t="shared" ref="R105:R122" si="31">G105+K105+O105</f>
        <v>288658</v>
      </c>
      <c r="S105" s="62">
        <f t="shared" ref="S105:S122" si="32">R105-C105</f>
        <v>0</v>
      </c>
    </row>
    <row r="106" spans="1:34" ht="34.5" customHeight="1" x14ac:dyDescent="0.25">
      <c r="A106" s="56" t="s">
        <v>23</v>
      </c>
      <c r="B106" s="54" t="s">
        <v>13</v>
      </c>
      <c r="C106" s="55">
        <v>1351325</v>
      </c>
      <c r="D106" s="55">
        <v>0</v>
      </c>
      <c r="E106" s="55">
        <v>76593</v>
      </c>
      <c r="F106" s="55">
        <v>0</v>
      </c>
      <c r="G106" s="55">
        <f t="shared" si="28"/>
        <v>76593</v>
      </c>
      <c r="H106" s="63">
        <v>0</v>
      </c>
      <c r="I106" s="63">
        <v>1135316</v>
      </c>
      <c r="J106" s="63">
        <v>0</v>
      </c>
      <c r="K106" s="63">
        <f t="shared" si="29"/>
        <v>1135316</v>
      </c>
      <c r="L106" s="63">
        <v>0</v>
      </c>
      <c r="M106" s="63">
        <v>139416</v>
      </c>
      <c r="N106" s="63">
        <v>0</v>
      </c>
      <c r="O106" s="63">
        <f t="shared" si="30"/>
        <v>139416</v>
      </c>
      <c r="R106" s="62">
        <f t="shared" si="31"/>
        <v>1351325</v>
      </c>
      <c r="S106" s="62">
        <f t="shared" si="32"/>
        <v>0</v>
      </c>
    </row>
    <row r="107" spans="1:34" ht="40.5" customHeight="1" x14ac:dyDescent="0.25">
      <c r="A107" s="56" t="s">
        <v>22</v>
      </c>
      <c r="B107" s="54" t="s">
        <v>12</v>
      </c>
      <c r="C107" s="55">
        <v>133660</v>
      </c>
      <c r="D107" s="55">
        <v>15375</v>
      </c>
      <c r="E107" s="55">
        <v>0</v>
      </c>
      <c r="F107" s="55">
        <v>0</v>
      </c>
      <c r="G107" s="55">
        <f t="shared" si="28"/>
        <v>15375</v>
      </c>
      <c r="H107" s="63">
        <v>99994</v>
      </c>
      <c r="I107" s="63">
        <v>0</v>
      </c>
      <c r="J107" s="63">
        <v>0</v>
      </c>
      <c r="K107" s="63">
        <f t="shared" si="29"/>
        <v>99994</v>
      </c>
      <c r="L107" s="63">
        <v>18291</v>
      </c>
      <c r="M107" s="63">
        <v>0</v>
      </c>
      <c r="N107" s="63">
        <v>0</v>
      </c>
      <c r="O107" s="63">
        <f t="shared" si="30"/>
        <v>18291</v>
      </c>
      <c r="R107" s="62">
        <f t="shared" si="31"/>
        <v>133660</v>
      </c>
      <c r="S107" s="62">
        <f t="shared" si="32"/>
        <v>0</v>
      </c>
    </row>
    <row r="108" spans="1:34" ht="39.75" customHeight="1" x14ac:dyDescent="0.25">
      <c r="A108" s="56" t="s">
        <v>21</v>
      </c>
      <c r="B108" s="54" t="s">
        <v>11</v>
      </c>
      <c r="C108" s="55">
        <v>154250</v>
      </c>
      <c r="D108" s="55">
        <v>6046</v>
      </c>
      <c r="E108" s="55">
        <v>9571</v>
      </c>
      <c r="F108" s="55">
        <v>4104</v>
      </c>
      <c r="G108" s="55">
        <f t="shared" si="28"/>
        <v>19721</v>
      </c>
      <c r="H108" s="63">
        <v>32075</v>
      </c>
      <c r="I108" s="63">
        <v>50769</v>
      </c>
      <c r="J108" s="63">
        <v>21770</v>
      </c>
      <c r="K108" s="63">
        <f t="shared" si="29"/>
        <v>104614</v>
      </c>
      <c r="L108" s="63">
        <v>9172</v>
      </c>
      <c r="M108" s="63">
        <v>14518</v>
      </c>
      <c r="N108" s="63">
        <v>6225</v>
      </c>
      <c r="O108" s="63">
        <f t="shared" si="30"/>
        <v>29915</v>
      </c>
      <c r="R108" s="62">
        <f t="shared" si="31"/>
        <v>154250</v>
      </c>
      <c r="S108" s="62">
        <f t="shared" si="32"/>
        <v>0</v>
      </c>
    </row>
    <row r="109" spans="1:34" ht="28.5" customHeight="1" x14ac:dyDescent="0.25">
      <c r="A109" s="56" t="s">
        <v>20</v>
      </c>
      <c r="B109" s="54" t="s">
        <v>34</v>
      </c>
      <c r="C109" s="55">
        <v>256867</v>
      </c>
      <c r="D109" s="55">
        <v>48080</v>
      </c>
      <c r="E109" s="55">
        <v>0</v>
      </c>
      <c r="F109" s="55">
        <v>0</v>
      </c>
      <c r="G109" s="55">
        <f t="shared" si="28"/>
        <v>48080</v>
      </c>
      <c r="H109" s="63">
        <v>156938</v>
      </c>
      <c r="I109" s="63">
        <v>0</v>
      </c>
      <c r="J109" s="63">
        <v>0</v>
      </c>
      <c r="K109" s="63">
        <f t="shared" si="29"/>
        <v>156938</v>
      </c>
      <c r="L109" s="63">
        <v>51849</v>
      </c>
      <c r="M109" s="63">
        <v>0</v>
      </c>
      <c r="N109" s="63">
        <v>0</v>
      </c>
      <c r="O109" s="63">
        <f t="shared" si="30"/>
        <v>51849</v>
      </c>
      <c r="R109" s="62">
        <f t="shared" si="31"/>
        <v>256867</v>
      </c>
      <c r="S109" s="62">
        <f t="shared" si="32"/>
        <v>0</v>
      </c>
    </row>
    <row r="110" spans="1:34" ht="34.5" customHeight="1" x14ac:dyDescent="0.25">
      <c r="A110" s="56" t="s">
        <v>19</v>
      </c>
      <c r="B110" s="54" t="s">
        <v>10</v>
      </c>
      <c r="C110" s="55">
        <v>1121931</v>
      </c>
      <c r="D110" s="55">
        <v>24374</v>
      </c>
      <c r="E110" s="55">
        <v>31876</v>
      </c>
      <c r="F110" s="55">
        <v>1495</v>
      </c>
      <c r="G110" s="55">
        <f t="shared" si="28"/>
        <v>57745</v>
      </c>
      <c r="H110" s="63">
        <v>379100</v>
      </c>
      <c r="I110" s="63">
        <v>495767</v>
      </c>
      <c r="J110" s="63">
        <v>23262</v>
      </c>
      <c r="K110" s="63">
        <f t="shared" si="29"/>
        <v>898129</v>
      </c>
      <c r="L110" s="63">
        <v>70093</v>
      </c>
      <c r="M110" s="63">
        <v>91663</v>
      </c>
      <c r="N110" s="63">
        <v>4301</v>
      </c>
      <c r="O110" s="63">
        <f t="shared" si="30"/>
        <v>166057</v>
      </c>
      <c r="R110" s="62">
        <f t="shared" si="31"/>
        <v>1121931</v>
      </c>
      <c r="S110" s="62">
        <f t="shared" si="32"/>
        <v>0</v>
      </c>
    </row>
    <row r="111" spans="1:34" ht="25.5" customHeight="1" x14ac:dyDescent="0.25">
      <c r="A111" s="56" t="s">
        <v>18</v>
      </c>
      <c r="B111" s="54" t="s">
        <v>9</v>
      </c>
      <c r="C111" s="55">
        <v>1051416</v>
      </c>
      <c r="D111" s="55">
        <v>94207</v>
      </c>
      <c r="E111" s="55">
        <v>156606</v>
      </c>
      <c r="F111" s="55">
        <v>2431</v>
      </c>
      <c r="G111" s="55">
        <f t="shared" si="28"/>
        <v>253244</v>
      </c>
      <c r="H111" s="63">
        <v>294362</v>
      </c>
      <c r="I111" s="63">
        <v>489337</v>
      </c>
      <c r="J111" s="63">
        <v>7596</v>
      </c>
      <c r="K111" s="63">
        <f t="shared" si="29"/>
        <v>791295</v>
      </c>
      <c r="L111" s="63">
        <v>2558</v>
      </c>
      <c r="M111" s="63">
        <v>4253</v>
      </c>
      <c r="N111" s="63">
        <v>66</v>
      </c>
      <c r="O111" s="63">
        <f t="shared" si="30"/>
        <v>6877</v>
      </c>
      <c r="R111" s="62">
        <f t="shared" si="31"/>
        <v>1051416</v>
      </c>
      <c r="S111" s="62">
        <f t="shared" si="32"/>
        <v>0</v>
      </c>
    </row>
    <row r="112" spans="1:34" ht="25.5" customHeight="1" x14ac:dyDescent="0.25">
      <c r="A112" s="56" t="s">
        <v>25</v>
      </c>
      <c r="B112" s="54" t="s">
        <v>8</v>
      </c>
      <c r="C112" s="55">
        <v>1429689</v>
      </c>
      <c r="D112" s="55">
        <v>10301</v>
      </c>
      <c r="E112" s="55">
        <v>46172</v>
      </c>
      <c r="F112" s="55">
        <v>0</v>
      </c>
      <c r="G112" s="55">
        <f t="shared" si="28"/>
        <v>56473</v>
      </c>
      <c r="H112" s="63">
        <v>167178</v>
      </c>
      <c r="I112" s="63">
        <v>749367</v>
      </c>
      <c r="J112" s="63">
        <v>0</v>
      </c>
      <c r="K112" s="63">
        <f t="shared" si="29"/>
        <v>916545</v>
      </c>
      <c r="L112" s="63">
        <v>83297</v>
      </c>
      <c r="M112" s="63">
        <v>373374</v>
      </c>
      <c r="N112" s="63">
        <v>0</v>
      </c>
      <c r="O112" s="63">
        <f t="shared" si="30"/>
        <v>456671</v>
      </c>
      <c r="R112" s="62">
        <f t="shared" si="31"/>
        <v>1429689</v>
      </c>
      <c r="S112" s="62">
        <f t="shared" si="32"/>
        <v>0</v>
      </c>
    </row>
    <row r="113" spans="1:34" ht="25.5" customHeight="1" x14ac:dyDescent="0.25">
      <c r="A113" s="56" t="s">
        <v>26</v>
      </c>
      <c r="B113" s="54" t="s">
        <v>7</v>
      </c>
      <c r="C113" s="55">
        <v>686432</v>
      </c>
      <c r="D113" s="55">
        <v>1583</v>
      </c>
      <c r="E113" s="55">
        <v>10958</v>
      </c>
      <c r="F113" s="55">
        <v>0</v>
      </c>
      <c r="G113" s="55">
        <f t="shared" si="28"/>
        <v>12541</v>
      </c>
      <c r="H113" s="63">
        <v>77322</v>
      </c>
      <c r="I113" s="63">
        <v>535374</v>
      </c>
      <c r="J113" s="63">
        <v>0</v>
      </c>
      <c r="K113" s="63">
        <f t="shared" si="29"/>
        <v>612696</v>
      </c>
      <c r="L113" s="63">
        <v>7723</v>
      </c>
      <c r="M113" s="63">
        <v>53472</v>
      </c>
      <c r="N113" s="63">
        <v>0</v>
      </c>
      <c r="O113" s="63">
        <f t="shared" si="30"/>
        <v>61195</v>
      </c>
      <c r="R113" s="62">
        <f t="shared" si="31"/>
        <v>686432</v>
      </c>
      <c r="S113" s="62">
        <f t="shared" si="32"/>
        <v>0</v>
      </c>
    </row>
    <row r="114" spans="1:34" ht="25.5" customHeight="1" x14ac:dyDescent="0.25">
      <c r="A114" s="56" t="s">
        <v>27</v>
      </c>
      <c r="B114" s="54" t="s">
        <v>6</v>
      </c>
      <c r="C114" s="55">
        <v>577106</v>
      </c>
      <c r="D114" s="55">
        <v>1837</v>
      </c>
      <c r="E114" s="55">
        <v>2148</v>
      </c>
      <c r="F114" s="55">
        <v>37</v>
      </c>
      <c r="G114" s="55">
        <f t="shared" si="28"/>
        <v>4022</v>
      </c>
      <c r="H114" s="63">
        <v>261389</v>
      </c>
      <c r="I114" s="63">
        <v>305622</v>
      </c>
      <c r="J114" s="63">
        <v>5207</v>
      </c>
      <c r="K114" s="63">
        <f t="shared" si="29"/>
        <v>572218</v>
      </c>
      <c r="L114" s="63">
        <v>396</v>
      </c>
      <c r="M114" s="63">
        <v>462</v>
      </c>
      <c r="N114" s="63">
        <v>8</v>
      </c>
      <c r="O114" s="63">
        <f t="shared" si="30"/>
        <v>866</v>
      </c>
      <c r="R114" s="62">
        <f t="shared" si="31"/>
        <v>577106</v>
      </c>
      <c r="S114" s="62">
        <f t="shared" si="32"/>
        <v>0</v>
      </c>
    </row>
    <row r="115" spans="1:34" ht="25.5" customHeight="1" x14ac:dyDescent="0.25">
      <c r="A115" s="56" t="s">
        <v>28</v>
      </c>
      <c r="B115" s="54" t="s">
        <v>5</v>
      </c>
      <c r="C115" s="55">
        <v>728498</v>
      </c>
      <c r="D115" s="55">
        <v>20853</v>
      </c>
      <c r="E115" s="55">
        <v>75067</v>
      </c>
      <c r="F115" s="55">
        <v>4868</v>
      </c>
      <c r="G115" s="55">
        <f t="shared" si="28"/>
        <v>100788</v>
      </c>
      <c r="H115" s="63">
        <v>128609</v>
      </c>
      <c r="I115" s="63">
        <v>462966</v>
      </c>
      <c r="J115" s="63">
        <v>30023</v>
      </c>
      <c r="K115" s="63">
        <f t="shared" si="29"/>
        <v>621598</v>
      </c>
      <c r="L115" s="63">
        <v>1265</v>
      </c>
      <c r="M115" s="63">
        <v>4552</v>
      </c>
      <c r="N115" s="63">
        <v>295</v>
      </c>
      <c r="O115" s="63">
        <f t="shared" si="30"/>
        <v>6112</v>
      </c>
      <c r="R115" s="62">
        <f t="shared" si="31"/>
        <v>728498</v>
      </c>
      <c r="S115" s="62">
        <f t="shared" si="32"/>
        <v>0</v>
      </c>
    </row>
    <row r="116" spans="1:34" ht="25.5" customHeight="1" x14ac:dyDescent="0.25">
      <c r="A116" s="56" t="s">
        <v>29</v>
      </c>
      <c r="B116" s="54" t="s">
        <v>4</v>
      </c>
      <c r="C116" s="55">
        <v>523659</v>
      </c>
      <c r="D116" s="55">
        <v>10155</v>
      </c>
      <c r="E116" s="55">
        <v>17109</v>
      </c>
      <c r="F116" s="55">
        <v>710</v>
      </c>
      <c r="G116" s="55">
        <f t="shared" si="28"/>
        <v>27974</v>
      </c>
      <c r="H116" s="63">
        <v>173990</v>
      </c>
      <c r="I116" s="63">
        <v>293146</v>
      </c>
      <c r="J116" s="63">
        <v>12174</v>
      </c>
      <c r="K116" s="63">
        <f t="shared" si="29"/>
        <v>479310</v>
      </c>
      <c r="L116" s="63">
        <v>5944</v>
      </c>
      <c r="M116" s="63">
        <v>10015</v>
      </c>
      <c r="N116" s="63">
        <v>416</v>
      </c>
      <c r="O116" s="63">
        <f t="shared" si="30"/>
        <v>16375</v>
      </c>
      <c r="R116" s="62">
        <f t="shared" si="31"/>
        <v>523659</v>
      </c>
      <c r="S116" s="62">
        <f t="shared" si="32"/>
        <v>0</v>
      </c>
    </row>
    <row r="117" spans="1:34" ht="25.5" customHeight="1" x14ac:dyDescent="0.25">
      <c r="A117" s="56">
        <v>14</v>
      </c>
      <c r="B117" s="54" t="s">
        <v>3</v>
      </c>
      <c r="C117" s="55">
        <v>913731</v>
      </c>
      <c r="D117" s="55">
        <v>43796</v>
      </c>
      <c r="E117" s="55">
        <v>21561</v>
      </c>
      <c r="F117" s="55">
        <v>2022</v>
      </c>
      <c r="G117" s="55">
        <f t="shared" si="28"/>
        <v>67379</v>
      </c>
      <c r="H117" s="63">
        <v>489335</v>
      </c>
      <c r="I117" s="63">
        <v>240903</v>
      </c>
      <c r="J117" s="63">
        <v>22585</v>
      </c>
      <c r="K117" s="63">
        <f t="shared" si="29"/>
        <v>752823</v>
      </c>
      <c r="L117" s="63">
        <v>60794</v>
      </c>
      <c r="M117" s="63">
        <v>29929</v>
      </c>
      <c r="N117" s="63">
        <v>2806</v>
      </c>
      <c r="O117" s="63">
        <f t="shared" si="30"/>
        <v>93529</v>
      </c>
      <c r="R117" s="62">
        <f t="shared" si="31"/>
        <v>913731</v>
      </c>
      <c r="S117" s="62">
        <f t="shared" si="32"/>
        <v>0</v>
      </c>
    </row>
    <row r="118" spans="1:34" ht="54" customHeight="1" x14ac:dyDescent="0.25">
      <c r="A118" s="56" t="s">
        <v>30</v>
      </c>
      <c r="B118" s="54" t="s">
        <v>2</v>
      </c>
      <c r="C118" s="55">
        <v>103086</v>
      </c>
      <c r="D118" s="55">
        <v>2920</v>
      </c>
      <c r="E118" s="55">
        <v>0</v>
      </c>
      <c r="F118" s="55">
        <v>0</v>
      </c>
      <c r="G118" s="55">
        <f t="shared" si="28"/>
        <v>2920</v>
      </c>
      <c r="H118" s="63">
        <v>86300</v>
      </c>
      <c r="I118" s="63">
        <v>0</v>
      </c>
      <c r="J118" s="63">
        <v>0</v>
      </c>
      <c r="K118" s="63">
        <f t="shared" si="29"/>
        <v>86300</v>
      </c>
      <c r="L118" s="63">
        <v>13866</v>
      </c>
      <c r="M118" s="63">
        <v>0</v>
      </c>
      <c r="N118" s="63">
        <v>0</v>
      </c>
      <c r="O118" s="63">
        <f t="shared" si="30"/>
        <v>13866</v>
      </c>
      <c r="R118" s="62">
        <f t="shared" si="31"/>
        <v>103086</v>
      </c>
      <c r="S118" s="62">
        <f t="shared" si="32"/>
        <v>0</v>
      </c>
    </row>
    <row r="119" spans="1:34" ht="39.75" customHeight="1" x14ac:dyDescent="0.25">
      <c r="A119" s="56" t="s">
        <v>31</v>
      </c>
      <c r="B119" s="54" t="s">
        <v>1</v>
      </c>
      <c r="C119" s="55">
        <v>55383</v>
      </c>
      <c r="D119" s="55">
        <v>4119</v>
      </c>
      <c r="E119" s="55">
        <v>0</v>
      </c>
      <c r="F119" s="55">
        <v>0</v>
      </c>
      <c r="G119" s="55">
        <f t="shared" si="28"/>
        <v>4119</v>
      </c>
      <c r="H119" s="63">
        <v>49030</v>
      </c>
      <c r="I119" s="63">
        <v>0</v>
      </c>
      <c r="J119" s="63">
        <v>0</v>
      </c>
      <c r="K119" s="63">
        <f t="shared" si="29"/>
        <v>49030</v>
      </c>
      <c r="L119" s="63">
        <v>2234</v>
      </c>
      <c r="M119" s="63">
        <v>0</v>
      </c>
      <c r="N119" s="63">
        <v>0</v>
      </c>
      <c r="O119" s="63">
        <f t="shared" si="30"/>
        <v>2234</v>
      </c>
      <c r="R119" s="62">
        <f t="shared" si="31"/>
        <v>55383</v>
      </c>
      <c r="S119" s="62">
        <f t="shared" si="32"/>
        <v>0</v>
      </c>
    </row>
    <row r="120" spans="1:34" ht="33" customHeight="1" x14ac:dyDescent="0.25">
      <c r="A120" s="56" t="s">
        <v>32</v>
      </c>
      <c r="B120" s="54" t="s">
        <v>73</v>
      </c>
      <c r="C120" s="55">
        <v>61242</v>
      </c>
      <c r="D120" s="55">
        <v>12045</v>
      </c>
      <c r="E120" s="55">
        <v>0</v>
      </c>
      <c r="F120" s="55">
        <v>0</v>
      </c>
      <c r="G120" s="55">
        <f t="shared" si="28"/>
        <v>12045</v>
      </c>
      <c r="H120" s="63">
        <v>39432</v>
      </c>
      <c r="I120" s="63">
        <v>0</v>
      </c>
      <c r="J120" s="63">
        <v>0</v>
      </c>
      <c r="K120" s="63">
        <f t="shared" si="29"/>
        <v>39432</v>
      </c>
      <c r="L120" s="63">
        <v>9765</v>
      </c>
      <c r="M120" s="63">
        <v>0</v>
      </c>
      <c r="N120" s="63">
        <v>0</v>
      </c>
      <c r="O120" s="63">
        <f t="shared" si="30"/>
        <v>9765</v>
      </c>
      <c r="R120" s="62">
        <f t="shared" si="31"/>
        <v>61242</v>
      </c>
      <c r="S120" s="62">
        <f t="shared" si="32"/>
        <v>0</v>
      </c>
    </row>
    <row r="121" spans="1:34" ht="33" customHeight="1" x14ac:dyDescent="0.25">
      <c r="A121" s="56" t="s">
        <v>90</v>
      </c>
      <c r="B121" s="70" t="s">
        <v>91</v>
      </c>
      <c r="C121" s="55">
        <f>E121+I121+M121</f>
        <v>61662</v>
      </c>
      <c r="D121" s="55">
        <v>0</v>
      </c>
      <c r="E121" s="55">
        <v>10436</v>
      </c>
      <c r="F121" s="55">
        <v>0</v>
      </c>
      <c r="G121" s="55">
        <f t="shared" si="28"/>
        <v>10436</v>
      </c>
      <c r="H121" s="63">
        <v>0</v>
      </c>
      <c r="I121" s="63">
        <v>34306</v>
      </c>
      <c r="J121" s="63">
        <v>0</v>
      </c>
      <c r="K121" s="63">
        <f t="shared" si="29"/>
        <v>34306</v>
      </c>
      <c r="L121" s="63">
        <v>0</v>
      </c>
      <c r="M121" s="63">
        <v>16920</v>
      </c>
      <c r="N121" s="63">
        <v>0</v>
      </c>
      <c r="O121" s="63">
        <f t="shared" si="30"/>
        <v>16920</v>
      </c>
      <c r="R121" s="62">
        <f t="shared" si="31"/>
        <v>61662</v>
      </c>
      <c r="S121" s="62">
        <f>R121-C121</f>
        <v>0</v>
      </c>
    </row>
    <row r="122" spans="1:34" ht="25.5" customHeight="1" x14ac:dyDescent="0.25">
      <c r="A122" s="57"/>
      <c r="B122" s="57" t="s">
        <v>0</v>
      </c>
      <c r="C122" s="58">
        <f>SUM(C104:C121)</f>
        <v>14882642</v>
      </c>
      <c r="D122" s="58">
        <f>SUM(D104:D121)</f>
        <v>421546</v>
      </c>
      <c r="E122" s="58">
        <f t="shared" ref="E122:O122" si="33">SUM(E104:E121)</f>
        <v>1231275</v>
      </c>
      <c r="F122" s="58">
        <f t="shared" si="33"/>
        <v>16522</v>
      </c>
      <c r="G122" s="58">
        <f t="shared" si="33"/>
        <v>1669343</v>
      </c>
      <c r="H122" s="58">
        <f t="shared" si="33"/>
        <v>2924717</v>
      </c>
      <c r="I122" s="58">
        <f t="shared" si="33"/>
        <v>8018755</v>
      </c>
      <c r="J122" s="58">
        <f t="shared" si="33"/>
        <v>125131</v>
      </c>
      <c r="K122" s="58">
        <f t="shared" si="33"/>
        <v>11068603</v>
      </c>
      <c r="L122" s="58">
        <f t="shared" si="33"/>
        <v>477512</v>
      </c>
      <c r="M122" s="58">
        <f t="shared" si="33"/>
        <v>1652308</v>
      </c>
      <c r="N122" s="58">
        <f t="shared" si="33"/>
        <v>14876</v>
      </c>
      <c r="O122" s="58">
        <f t="shared" si="33"/>
        <v>2144696</v>
      </c>
      <c r="R122" s="62">
        <f t="shared" si="31"/>
        <v>14882642</v>
      </c>
      <c r="S122" s="62">
        <f t="shared" si="32"/>
        <v>0</v>
      </c>
    </row>
    <row r="124" spans="1:34" s="4" customFormat="1" ht="28.5" customHeight="1" x14ac:dyDescent="0.25">
      <c r="A124" s="152" t="s">
        <v>17</v>
      </c>
      <c r="B124" s="152" t="s">
        <v>33</v>
      </c>
      <c r="C124" s="152" t="s">
        <v>78</v>
      </c>
      <c r="D124" s="152" t="s">
        <v>69</v>
      </c>
      <c r="E124" s="152"/>
      <c r="F124" s="152"/>
      <c r="G124" s="152"/>
      <c r="H124" s="152"/>
      <c r="I124" s="152"/>
      <c r="J124" s="152"/>
      <c r="K124" s="152"/>
      <c r="L124" s="152"/>
      <c r="M124" s="152"/>
      <c r="N124" s="152"/>
      <c r="O124" s="152"/>
      <c r="R124" s="61"/>
      <c r="S124" s="61"/>
      <c r="V124" s="61"/>
      <c r="W124" s="61"/>
      <c r="X124" s="61"/>
      <c r="Y124" s="61"/>
      <c r="Z124" s="61"/>
      <c r="AC124" s="95"/>
      <c r="AD124" s="95"/>
      <c r="AE124" s="95"/>
      <c r="AF124" s="95"/>
      <c r="AG124" s="93"/>
      <c r="AH124" s="95"/>
    </row>
    <row r="125" spans="1:34" s="4" customFormat="1" ht="41.25" customHeight="1" x14ac:dyDescent="0.25">
      <c r="A125" s="152"/>
      <c r="B125" s="152"/>
      <c r="C125" s="152"/>
      <c r="D125" s="154" t="s">
        <v>36</v>
      </c>
      <c r="E125" s="154"/>
      <c r="F125" s="154"/>
      <c r="G125" s="154"/>
      <c r="H125" s="155" t="s">
        <v>37</v>
      </c>
      <c r="I125" s="156"/>
      <c r="J125" s="156"/>
      <c r="K125" s="157"/>
      <c r="L125" s="155" t="s">
        <v>38</v>
      </c>
      <c r="M125" s="156"/>
      <c r="N125" s="156"/>
      <c r="O125" s="157"/>
      <c r="R125" s="61"/>
      <c r="S125" s="61"/>
      <c r="V125" s="61"/>
      <c r="W125" s="61"/>
      <c r="X125" s="61"/>
      <c r="Y125" s="61"/>
      <c r="Z125" s="61"/>
      <c r="AC125" s="95"/>
      <c r="AD125" s="95"/>
      <c r="AE125" s="95"/>
      <c r="AF125" s="95"/>
      <c r="AG125" s="93"/>
      <c r="AH125" s="95"/>
    </row>
    <row r="126" spans="1:34" s="4" customFormat="1" ht="59.25" customHeight="1" x14ac:dyDescent="0.25">
      <c r="A126" s="152"/>
      <c r="B126" s="152"/>
      <c r="C126" s="152"/>
      <c r="D126" s="83" t="s">
        <v>66</v>
      </c>
      <c r="E126" s="83" t="s">
        <v>67</v>
      </c>
      <c r="F126" s="83" t="s">
        <v>68</v>
      </c>
      <c r="G126" s="83" t="s">
        <v>70</v>
      </c>
      <c r="H126" s="65" t="s">
        <v>66</v>
      </c>
      <c r="I126" s="65" t="s">
        <v>67</v>
      </c>
      <c r="J126" s="65" t="s">
        <v>68</v>
      </c>
      <c r="K126" s="65" t="s">
        <v>71</v>
      </c>
      <c r="L126" s="65" t="s">
        <v>66</v>
      </c>
      <c r="M126" s="65" t="s">
        <v>67</v>
      </c>
      <c r="N126" s="65" t="s">
        <v>68</v>
      </c>
      <c r="O126" s="65" t="s">
        <v>72</v>
      </c>
      <c r="R126" s="61"/>
      <c r="S126" s="61"/>
      <c r="V126" s="61"/>
      <c r="W126" s="61"/>
      <c r="X126" s="61"/>
      <c r="Y126" s="61"/>
      <c r="Z126" s="61"/>
      <c r="AC126" s="95"/>
      <c r="AD126" s="95"/>
      <c r="AE126" s="95"/>
      <c r="AF126" s="95"/>
      <c r="AG126" s="93"/>
      <c r="AH126" s="95"/>
    </row>
    <row r="127" spans="1:34" s="3" customFormat="1" ht="14.25" customHeight="1" x14ac:dyDescent="0.25">
      <c r="A127" s="53">
        <v>1</v>
      </c>
      <c r="B127" s="53">
        <v>2</v>
      </c>
      <c r="C127" s="53">
        <v>3</v>
      </c>
      <c r="D127" s="53">
        <v>4</v>
      </c>
      <c r="E127" s="53">
        <v>5</v>
      </c>
      <c r="F127" s="53">
        <v>6</v>
      </c>
      <c r="G127" s="53">
        <v>7</v>
      </c>
      <c r="H127" s="66">
        <v>8</v>
      </c>
      <c r="I127" s="66">
        <v>9</v>
      </c>
      <c r="J127" s="66">
        <v>10</v>
      </c>
      <c r="K127" s="66">
        <v>11</v>
      </c>
      <c r="L127" s="66">
        <v>12</v>
      </c>
      <c r="M127" s="66">
        <v>13</v>
      </c>
      <c r="N127" s="66">
        <v>14</v>
      </c>
      <c r="O127" s="66">
        <v>15</v>
      </c>
      <c r="R127" s="61"/>
      <c r="S127" s="61"/>
      <c r="V127" s="61"/>
      <c r="W127" s="61"/>
      <c r="X127" s="61"/>
      <c r="Y127" s="61"/>
      <c r="Z127" s="61"/>
      <c r="AC127" s="95"/>
      <c r="AD127" s="95"/>
      <c r="AE127" s="95"/>
      <c r="AF127" s="95"/>
      <c r="AG127" s="94"/>
      <c r="AH127" s="95"/>
    </row>
    <row r="128" spans="1:34" s="3" customFormat="1" ht="25.5" customHeight="1" x14ac:dyDescent="0.25">
      <c r="A128" s="53" t="s">
        <v>16</v>
      </c>
      <c r="B128" s="54" t="s">
        <v>15</v>
      </c>
      <c r="C128" s="55">
        <v>2452837</v>
      </c>
      <c r="D128" s="55">
        <v>76237</v>
      </c>
      <c r="E128" s="55">
        <v>306479</v>
      </c>
      <c r="F128" s="55">
        <v>0</v>
      </c>
      <c r="G128" s="55">
        <f>D128+E128+F128</f>
        <v>382716</v>
      </c>
      <c r="H128" s="63">
        <v>321463</v>
      </c>
      <c r="I128" s="63">
        <v>1292307</v>
      </c>
      <c r="J128" s="63">
        <v>0</v>
      </c>
      <c r="K128" s="63">
        <f>H128+I128+J128</f>
        <v>1613770</v>
      </c>
      <c r="L128" s="63">
        <v>90905</v>
      </c>
      <c r="M128" s="63">
        <v>365446</v>
      </c>
      <c r="N128" s="63">
        <v>0</v>
      </c>
      <c r="O128" s="63">
        <f>L128+M128+N128</f>
        <v>456351</v>
      </c>
      <c r="R128" s="62">
        <f>G128+K128+O128</f>
        <v>2452837</v>
      </c>
      <c r="S128" s="62">
        <f>R128-C128</f>
        <v>0</v>
      </c>
      <c r="V128" s="61"/>
      <c r="W128" s="61"/>
      <c r="X128" s="61"/>
      <c r="Y128" s="61"/>
      <c r="Z128" s="61"/>
      <c r="AC128" s="95"/>
      <c r="AD128" s="95"/>
      <c r="AE128" s="95"/>
      <c r="AF128" s="95"/>
      <c r="AG128" s="94"/>
      <c r="AH128" s="95"/>
    </row>
    <row r="129" spans="1:19" ht="40.5" customHeight="1" x14ac:dyDescent="0.25">
      <c r="A129" s="56" t="s">
        <v>24</v>
      </c>
      <c r="B129" s="54" t="s">
        <v>14</v>
      </c>
      <c r="C129" s="55">
        <v>273447</v>
      </c>
      <c r="D129" s="55">
        <v>28978</v>
      </c>
      <c r="E129" s="55">
        <v>26830</v>
      </c>
      <c r="F129" s="55">
        <v>855</v>
      </c>
      <c r="G129" s="55">
        <f t="shared" ref="G129:G145" si="34">D129+E129+F129</f>
        <v>56663</v>
      </c>
      <c r="H129" s="63">
        <v>85160</v>
      </c>
      <c r="I129" s="63">
        <v>78849</v>
      </c>
      <c r="J129" s="63">
        <v>2515</v>
      </c>
      <c r="K129" s="63">
        <f t="shared" ref="K129:K145" si="35">H129+I129+J129</f>
        <v>166524</v>
      </c>
      <c r="L129" s="63">
        <v>25703</v>
      </c>
      <c r="M129" s="63">
        <v>23798</v>
      </c>
      <c r="N129" s="63">
        <v>759</v>
      </c>
      <c r="O129" s="63">
        <f t="shared" ref="O129:O145" si="36">L129+M129+N129</f>
        <v>50260</v>
      </c>
      <c r="R129" s="62">
        <f t="shared" ref="R129:R146" si="37">G129+K129+O129</f>
        <v>273447</v>
      </c>
      <c r="S129" s="62">
        <f t="shared" ref="S129:S146" si="38">R129-C129</f>
        <v>0</v>
      </c>
    </row>
    <row r="130" spans="1:19" ht="34.5" customHeight="1" x14ac:dyDescent="0.25">
      <c r="A130" s="56" t="s">
        <v>23</v>
      </c>
      <c r="B130" s="54" t="s">
        <v>13</v>
      </c>
      <c r="C130" s="55">
        <v>617701</v>
      </c>
      <c r="D130" s="55">
        <v>0</v>
      </c>
      <c r="E130" s="55">
        <v>35011</v>
      </c>
      <c r="F130" s="55">
        <v>0</v>
      </c>
      <c r="G130" s="55">
        <f t="shared" si="34"/>
        <v>35011</v>
      </c>
      <c r="H130" s="63">
        <v>0</v>
      </c>
      <c r="I130" s="63">
        <v>518962</v>
      </c>
      <c r="J130" s="63">
        <v>0</v>
      </c>
      <c r="K130" s="63">
        <f t="shared" si="35"/>
        <v>518962</v>
      </c>
      <c r="L130" s="63">
        <v>0</v>
      </c>
      <c r="M130" s="63">
        <v>63728</v>
      </c>
      <c r="N130" s="63">
        <v>0</v>
      </c>
      <c r="O130" s="63">
        <f t="shared" si="36"/>
        <v>63728</v>
      </c>
      <c r="R130" s="62">
        <f t="shared" si="37"/>
        <v>617701</v>
      </c>
      <c r="S130" s="62">
        <f t="shared" si="38"/>
        <v>0</v>
      </c>
    </row>
    <row r="131" spans="1:19" ht="40.5" customHeight="1" x14ac:dyDescent="0.25">
      <c r="A131" s="56" t="s">
        <v>22</v>
      </c>
      <c r="B131" s="54" t="s">
        <v>12</v>
      </c>
      <c r="C131" s="55">
        <v>111559</v>
      </c>
      <c r="D131" s="55">
        <v>12832</v>
      </c>
      <c r="E131" s="55">
        <v>0</v>
      </c>
      <c r="F131" s="55">
        <v>0</v>
      </c>
      <c r="G131" s="55">
        <f t="shared" si="34"/>
        <v>12832</v>
      </c>
      <c r="H131" s="63">
        <v>83460</v>
      </c>
      <c r="I131" s="63">
        <v>0</v>
      </c>
      <c r="J131" s="63">
        <v>0</v>
      </c>
      <c r="K131" s="63">
        <f t="shared" si="35"/>
        <v>83460</v>
      </c>
      <c r="L131" s="63">
        <v>15267</v>
      </c>
      <c r="M131" s="63">
        <v>0</v>
      </c>
      <c r="N131" s="63">
        <v>0</v>
      </c>
      <c r="O131" s="63">
        <f t="shared" si="36"/>
        <v>15267</v>
      </c>
      <c r="R131" s="62">
        <f t="shared" si="37"/>
        <v>111559</v>
      </c>
      <c r="S131" s="62">
        <f t="shared" si="38"/>
        <v>0</v>
      </c>
    </row>
    <row r="132" spans="1:19" ht="39.75" customHeight="1" x14ac:dyDescent="0.25">
      <c r="A132" s="56" t="s">
        <v>21</v>
      </c>
      <c r="B132" s="54" t="s">
        <v>11</v>
      </c>
      <c r="C132" s="55">
        <v>115037</v>
      </c>
      <c r="D132" s="55">
        <v>4518</v>
      </c>
      <c r="E132" s="55">
        <v>7086</v>
      </c>
      <c r="F132" s="55">
        <v>3103</v>
      </c>
      <c r="G132" s="55">
        <f t="shared" si="34"/>
        <v>14707</v>
      </c>
      <c r="H132" s="63">
        <v>23968</v>
      </c>
      <c r="I132" s="63">
        <v>37590</v>
      </c>
      <c r="J132" s="63">
        <v>16462</v>
      </c>
      <c r="K132" s="63">
        <f t="shared" si="35"/>
        <v>78020</v>
      </c>
      <c r="L132" s="63">
        <v>6854</v>
      </c>
      <c r="M132" s="63">
        <v>10749</v>
      </c>
      <c r="N132" s="63">
        <v>4707</v>
      </c>
      <c r="O132" s="63">
        <f t="shared" si="36"/>
        <v>22310</v>
      </c>
      <c r="R132" s="62">
        <f t="shared" si="37"/>
        <v>115037</v>
      </c>
      <c r="S132" s="62">
        <f t="shared" si="38"/>
        <v>0</v>
      </c>
    </row>
    <row r="133" spans="1:19" ht="28.5" customHeight="1" x14ac:dyDescent="0.25">
      <c r="A133" s="56" t="s">
        <v>20</v>
      </c>
      <c r="B133" s="54" t="s">
        <v>34</v>
      </c>
      <c r="C133" s="55">
        <v>204496</v>
      </c>
      <c r="D133" s="55">
        <v>38278</v>
      </c>
      <c r="E133" s="55">
        <v>0</v>
      </c>
      <c r="F133" s="55">
        <v>0</v>
      </c>
      <c r="G133" s="55">
        <f t="shared" si="34"/>
        <v>38278</v>
      </c>
      <c r="H133" s="63">
        <v>124941</v>
      </c>
      <c r="I133" s="63">
        <v>0</v>
      </c>
      <c r="J133" s="63">
        <v>0</v>
      </c>
      <c r="K133" s="63">
        <f t="shared" si="35"/>
        <v>124941</v>
      </c>
      <c r="L133" s="63">
        <v>41277</v>
      </c>
      <c r="M133" s="63">
        <v>0</v>
      </c>
      <c r="N133" s="63">
        <v>0</v>
      </c>
      <c r="O133" s="63">
        <f t="shared" si="36"/>
        <v>41277</v>
      </c>
      <c r="R133" s="62">
        <f t="shared" si="37"/>
        <v>204496</v>
      </c>
      <c r="S133" s="62">
        <f t="shared" si="38"/>
        <v>0</v>
      </c>
    </row>
    <row r="134" spans="1:19" ht="34.5" customHeight="1" x14ac:dyDescent="0.25">
      <c r="A134" s="56" t="s">
        <v>19</v>
      </c>
      <c r="B134" s="54" t="s">
        <v>10</v>
      </c>
      <c r="C134" s="55">
        <v>785825</v>
      </c>
      <c r="D134" s="55">
        <v>17072</v>
      </c>
      <c r="E134" s="55">
        <v>22330</v>
      </c>
      <c r="F134" s="55">
        <v>1044</v>
      </c>
      <c r="G134" s="55">
        <f t="shared" si="34"/>
        <v>40446</v>
      </c>
      <c r="H134" s="63">
        <v>265530</v>
      </c>
      <c r="I134" s="63">
        <v>347309</v>
      </c>
      <c r="J134" s="63">
        <v>16230</v>
      </c>
      <c r="K134" s="63">
        <f t="shared" si="35"/>
        <v>629069</v>
      </c>
      <c r="L134" s="63">
        <v>49094</v>
      </c>
      <c r="M134" s="63">
        <v>64215</v>
      </c>
      <c r="N134" s="63">
        <v>3001</v>
      </c>
      <c r="O134" s="63">
        <f t="shared" si="36"/>
        <v>116310</v>
      </c>
      <c r="R134" s="62">
        <f t="shared" si="37"/>
        <v>785825</v>
      </c>
      <c r="S134" s="62">
        <f t="shared" si="38"/>
        <v>0</v>
      </c>
    </row>
    <row r="135" spans="1:19" ht="25.5" customHeight="1" x14ac:dyDescent="0.25">
      <c r="A135" s="56" t="s">
        <v>18</v>
      </c>
      <c r="B135" s="54" t="s">
        <v>9</v>
      </c>
      <c r="C135" s="55">
        <v>356070</v>
      </c>
      <c r="D135" s="55">
        <v>22813</v>
      </c>
      <c r="E135" s="55">
        <v>62950</v>
      </c>
      <c r="F135" s="55">
        <v>0</v>
      </c>
      <c r="G135" s="55">
        <f t="shared" si="34"/>
        <v>85763</v>
      </c>
      <c r="H135" s="63">
        <v>71282</v>
      </c>
      <c r="I135" s="63">
        <v>196696</v>
      </c>
      <c r="J135" s="63">
        <v>0</v>
      </c>
      <c r="K135" s="63">
        <f t="shared" si="35"/>
        <v>267978</v>
      </c>
      <c r="L135" s="63">
        <v>620</v>
      </c>
      <c r="M135" s="63">
        <v>1709</v>
      </c>
      <c r="N135" s="63">
        <v>0</v>
      </c>
      <c r="O135" s="63">
        <f t="shared" si="36"/>
        <v>2329</v>
      </c>
      <c r="R135" s="62">
        <f t="shared" si="37"/>
        <v>356070</v>
      </c>
      <c r="S135" s="62">
        <f t="shared" si="38"/>
        <v>0</v>
      </c>
    </row>
    <row r="136" spans="1:19" ht="25.5" customHeight="1" x14ac:dyDescent="0.25">
      <c r="A136" s="56" t="s">
        <v>25</v>
      </c>
      <c r="B136" s="54" t="s">
        <v>8</v>
      </c>
      <c r="C136" s="55">
        <v>933494</v>
      </c>
      <c r="D136" s="55">
        <v>6173</v>
      </c>
      <c r="E136" s="55">
        <v>30700</v>
      </c>
      <c r="F136" s="55">
        <v>0</v>
      </c>
      <c r="G136" s="55">
        <f t="shared" si="34"/>
        <v>36873</v>
      </c>
      <c r="H136" s="63">
        <v>100180</v>
      </c>
      <c r="I136" s="63">
        <v>498264</v>
      </c>
      <c r="J136" s="63">
        <v>0</v>
      </c>
      <c r="K136" s="63">
        <f t="shared" si="35"/>
        <v>598444</v>
      </c>
      <c r="L136" s="63">
        <v>49915</v>
      </c>
      <c r="M136" s="63">
        <v>248262</v>
      </c>
      <c r="N136" s="63">
        <v>0</v>
      </c>
      <c r="O136" s="63">
        <f t="shared" si="36"/>
        <v>298177</v>
      </c>
      <c r="R136" s="62">
        <f t="shared" si="37"/>
        <v>933494</v>
      </c>
      <c r="S136" s="62">
        <f t="shared" si="38"/>
        <v>0</v>
      </c>
    </row>
    <row r="137" spans="1:19" ht="25.5" customHeight="1" x14ac:dyDescent="0.25">
      <c r="A137" s="56" t="s">
        <v>26</v>
      </c>
      <c r="B137" s="54" t="s">
        <v>7</v>
      </c>
      <c r="C137" s="55">
        <v>486223</v>
      </c>
      <c r="D137" s="55">
        <v>1196</v>
      </c>
      <c r="E137" s="55">
        <v>7687</v>
      </c>
      <c r="F137" s="55">
        <v>0</v>
      </c>
      <c r="G137" s="55">
        <f t="shared" si="34"/>
        <v>8883</v>
      </c>
      <c r="H137" s="63">
        <v>58459</v>
      </c>
      <c r="I137" s="63">
        <v>375534</v>
      </c>
      <c r="J137" s="63">
        <v>0</v>
      </c>
      <c r="K137" s="63">
        <f t="shared" si="35"/>
        <v>433993</v>
      </c>
      <c r="L137" s="63">
        <v>5839</v>
      </c>
      <c r="M137" s="63">
        <v>37508</v>
      </c>
      <c r="N137" s="63">
        <v>0</v>
      </c>
      <c r="O137" s="63">
        <f t="shared" si="36"/>
        <v>43347</v>
      </c>
      <c r="R137" s="62">
        <f t="shared" si="37"/>
        <v>486223</v>
      </c>
      <c r="S137" s="62">
        <f t="shared" si="38"/>
        <v>0</v>
      </c>
    </row>
    <row r="138" spans="1:19" ht="25.5" customHeight="1" x14ac:dyDescent="0.25">
      <c r="A138" s="56" t="s">
        <v>27</v>
      </c>
      <c r="B138" s="54" t="s">
        <v>6</v>
      </c>
      <c r="C138" s="55">
        <v>344323</v>
      </c>
      <c r="D138" s="55">
        <v>1076</v>
      </c>
      <c r="E138" s="55">
        <v>1299</v>
      </c>
      <c r="F138" s="55">
        <v>25</v>
      </c>
      <c r="G138" s="55">
        <f t="shared" si="34"/>
        <v>2400</v>
      </c>
      <c r="H138" s="63">
        <v>153053</v>
      </c>
      <c r="I138" s="63">
        <v>184769</v>
      </c>
      <c r="J138" s="63">
        <v>3585</v>
      </c>
      <c r="K138" s="63">
        <f t="shared" si="35"/>
        <v>341407</v>
      </c>
      <c r="L138" s="63">
        <v>231</v>
      </c>
      <c r="M138" s="63">
        <v>280</v>
      </c>
      <c r="N138" s="63">
        <v>5</v>
      </c>
      <c r="O138" s="63">
        <f t="shared" si="36"/>
        <v>516</v>
      </c>
      <c r="R138" s="62">
        <f t="shared" si="37"/>
        <v>344323</v>
      </c>
      <c r="S138" s="62">
        <f t="shared" si="38"/>
        <v>0</v>
      </c>
    </row>
    <row r="139" spans="1:19" ht="25.5" customHeight="1" x14ac:dyDescent="0.25">
      <c r="A139" s="56" t="s">
        <v>28</v>
      </c>
      <c r="B139" s="54" t="s">
        <v>5</v>
      </c>
      <c r="C139" s="55">
        <v>781685</v>
      </c>
      <c r="D139" s="55">
        <v>68900</v>
      </c>
      <c r="E139" s="55">
        <v>37181</v>
      </c>
      <c r="F139" s="55">
        <v>2066</v>
      </c>
      <c r="G139" s="55">
        <f t="shared" si="34"/>
        <v>108147</v>
      </c>
      <c r="H139" s="63">
        <v>424933</v>
      </c>
      <c r="I139" s="63">
        <v>229308</v>
      </c>
      <c r="J139" s="63">
        <v>12739</v>
      </c>
      <c r="K139" s="63">
        <f t="shared" si="35"/>
        <v>666980</v>
      </c>
      <c r="L139" s="63">
        <v>4178</v>
      </c>
      <c r="M139" s="63">
        <v>2255</v>
      </c>
      <c r="N139" s="63">
        <v>125</v>
      </c>
      <c r="O139" s="63">
        <f t="shared" si="36"/>
        <v>6558</v>
      </c>
      <c r="R139" s="62">
        <f t="shared" si="37"/>
        <v>781685</v>
      </c>
      <c r="S139" s="62">
        <f t="shared" si="38"/>
        <v>0</v>
      </c>
    </row>
    <row r="140" spans="1:19" ht="25.5" customHeight="1" x14ac:dyDescent="0.25">
      <c r="A140" s="56" t="s">
        <v>29</v>
      </c>
      <c r="B140" s="54" t="s">
        <v>4</v>
      </c>
      <c r="C140" s="55">
        <v>319521</v>
      </c>
      <c r="D140" s="55">
        <v>6196</v>
      </c>
      <c r="E140" s="55">
        <v>10441</v>
      </c>
      <c r="F140" s="55">
        <v>432</v>
      </c>
      <c r="G140" s="55">
        <f t="shared" si="34"/>
        <v>17069</v>
      </c>
      <c r="H140" s="63">
        <v>106163</v>
      </c>
      <c r="I140" s="63">
        <v>178898</v>
      </c>
      <c r="J140" s="63">
        <v>7399</v>
      </c>
      <c r="K140" s="63">
        <f t="shared" si="35"/>
        <v>292460</v>
      </c>
      <c r="L140" s="63">
        <v>3627</v>
      </c>
      <c r="M140" s="63">
        <v>6112</v>
      </c>
      <c r="N140" s="63">
        <v>253</v>
      </c>
      <c r="O140" s="63">
        <f t="shared" si="36"/>
        <v>9992</v>
      </c>
      <c r="R140" s="62">
        <f t="shared" si="37"/>
        <v>319521</v>
      </c>
      <c r="S140" s="62">
        <f t="shared" si="38"/>
        <v>0</v>
      </c>
    </row>
    <row r="141" spans="1:19" ht="25.5" customHeight="1" x14ac:dyDescent="0.25">
      <c r="A141" s="56">
        <v>14</v>
      </c>
      <c r="B141" s="54" t="s">
        <v>3</v>
      </c>
      <c r="C141" s="55">
        <v>677960</v>
      </c>
      <c r="D141" s="55">
        <v>32495</v>
      </c>
      <c r="E141" s="55">
        <v>15997</v>
      </c>
      <c r="F141" s="55">
        <v>1500</v>
      </c>
      <c r="G141" s="55">
        <f t="shared" si="34"/>
        <v>49992</v>
      </c>
      <c r="H141" s="63">
        <v>363072</v>
      </c>
      <c r="I141" s="63">
        <v>178743</v>
      </c>
      <c r="J141" s="63">
        <v>16757</v>
      </c>
      <c r="K141" s="63">
        <f t="shared" si="35"/>
        <v>558572</v>
      </c>
      <c r="L141" s="63">
        <v>45107</v>
      </c>
      <c r="M141" s="63">
        <v>22207</v>
      </c>
      <c r="N141" s="63">
        <v>2082</v>
      </c>
      <c r="O141" s="63">
        <f t="shared" si="36"/>
        <v>69396</v>
      </c>
      <c r="R141" s="62">
        <f t="shared" si="37"/>
        <v>677960</v>
      </c>
      <c r="S141" s="62">
        <f t="shared" si="38"/>
        <v>0</v>
      </c>
    </row>
    <row r="142" spans="1:19" ht="54" customHeight="1" x14ac:dyDescent="0.25">
      <c r="A142" s="56" t="s">
        <v>30</v>
      </c>
      <c r="B142" s="54" t="s">
        <v>2</v>
      </c>
      <c r="C142" s="55">
        <v>41607</v>
      </c>
      <c r="D142" s="55">
        <v>1178</v>
      </c>
      <c r="E142" s="55">
        <v>0</v>
      </c>
      <c r="F142" s="55">
        <v>0</v>
      </c>
      <c r="G142" s="55">
        <f t="shared" si="34"/>
        <v>1178</v>
      </c>
      <c r="H142" s="63">
        <v>34832</v>
      </c>
      <c r="I142" s="63">
        <v>0</v>
      </c>
      <c r="J142" s="63">
        <v>0</v>
      </c>
      <c r="K142" s="63">
        <f t="shared" si="35"/>
        <v>34832</v>
      </c>
      <c r="L142" s="63">
        <v>5597</v>
      </c>
      <c r="M142" s="63">
        <v>0</v>
      </c>
      <c r="N142" s="63">
        <v>0</v>
      </c>
      <c r="O142" s="63">
        <f t="shared" si="36"/>
        <v>5597</v>
      </c>
      <c r="R142" s="62">
        <f t="shared" si="37"/>
        <v>41607</v>
      </c>
      <c r="S142" s="62">
        <f t="shared" si="38"/>
        <v>0</v>
      </c>
    </row>
    <row r="143" spans="1:19" ht="39.75" customHeight="1" x14ac:dyDescent="0.25">
      <c r="A143" s="56" t="s">
        <v>31</v>
      </c>
      <c r="B143" s="54" t="s">
        <v>1</v>
      </c>
      <c r="C143" s="55">
        <v>24773</v>
      </c>
      <c r="D143" s="55">
        <v>1843</v>
      </c>
      <c r="E143" s="55">
        <v>0</v>
      </c>
      <c r="F143" s="55">
        <v>0</v>
      </c>
      <c r="G143" s="55">
        <f t="shared" si="34"/>
        <v>1843</v>
      </c>
      <c r="H143" s="63">
        <v>21931</v>
      </c>
      <c r="I143" s="63">
        <v>0</v>
      </c>
      <c r="J143" s="63">
        <v>0</v>
      </c>
      <c r="K143" s="63">
        <f t="shared" si="35"/>
        <v>21931</v>
      </c>
      <c r="L143" s="63">
        <v>999</v>
      </c>
      <c r="M143" s="63">
        <v>0</v>
      </c>
      <c r="N143" s="63">
        <v>0</v>
      </c>
      <c r="O143" s="63">
        <f t="shared" si="36"/>
        <v>999</v>
      </c>
      <c r="R143" s="62">
        <f t="shared" si="37"/>
        <v>24773</v>
      </c>
      <c r="S143" s="62">
        <f t="shared" si="38"/>
        <v>0</v>
      </c>
    </row>
    <row r="144" spans="1:19" ht="33" customHeight="1" x14ac:dyDescent="0.25">
      <c r="A144" s="56" t="s">
        <v>32</v>
      </c>
      <c r="B144" s="54" t="s">
        <v>73</v>
      </c>
      <c r="C144" s="55">
        <v>21248</v>
      </c>
      <c r="D144" s="55">
        <v>4180</v>
      </c>
      <c r="E144" s="55">
        <v>0</v>
      </c>
      <c r="F144" s="55">
        <v>0</v>
      </c>
      <c r="G144" s="55">
        <f t="shared" si="34"/>
        <v>4180</v>
      </c>
      <c r="H144" s="63">
        <v>13680</v>
      </c>
      <c r="I144" s="63">
        <v>0</v>
      </c>
      <c r="J144" s="63">
        <v>0</v>
      </c>
      <c r="K144" s="63">
        <f t="shared" si="35"/>
        <v>13680</v>
      </c>
      <c r="L144" s="63">
        <v>3388</v>
      </c>
      <c r="M144" s="63">
        <v>0</v>
      </c>
      <c r="N144" s="63">
        <v>0</v>
      </c>
      <c r="O144" s="63">
        <f t="shared" si="36"/>
        <v>3388</v>
      </c>
      <c r="R144" s="62">
        <f t="shared" si="37"/>
        <v>21248</v>
      </c>
      <c r="S144" s="62">
        <f t="shared" si="38"/>
        <v>0</v>
      </c>
    </row>
    <row r="145" spans="1:34" ht="33" customHeight="1" x14ac:dyDescent="0.25">
      <c r="A145" s="56" t="s">
        <v>90</v>
      </c>
      <c r="B145" s="70" t="s">
        <v>91</v>
      </c>
      <c r="C145" s="55">
        <f>E145+I145+M145</f>
        <v>61662</v>
      </c>
      <c r="D145" s="55">
        <v>0</v>
      </c>
      <c r="E145" s="55">
        <v>10436</v>
      </c>
      <c r="F145" s="55">
        <v>0</v>
      </c>
      <c r="G145" s="55">
        <f t="shared" si="34"/>
        <v>10436</v>
      </c>
      <c r="H145" s="63">
        <v>0</v>
      </c>
      <c r="I145" s="63">
        <v>34306</v>
      </c>
      <c r="J145" s="63">
        <v>0</v>
      </c>
      <c r="K145" s="63">
        <f t="shared" si="35"/>
        <v>34306</v>
      </c>
      <c r="L145" s="63">
        <v>0</v>
      </c>
      <c r="M145" s="63">
        <v>16920</v>
      </c>
      <c r="N145" s="63">
        <v>0</v>
      </c>
      <c r="O145" s="63">
        <f t="shared" si="36"/>
        <v>16920</v>
      </c>
      <c r="R145" s="62">
        <f t="shared" si="37"/>
        <v>61662</v>
      </c>
      <c r="S145" s="62">
        <f>R145-C145</f>
        <v>0</v>
      </c>
    </row>
    <row r="146" spans="1:34" ht="25.5" customHeight="1" x14ac:dyDescent="0.25">
      <c r="A146" s="57"/>
      <c r="B146" s="57" t="s">
        <v>0</v>
      </c>
      <c r="C146" s="58">
        <f>SUM(C128:C145)</f>
        <v>8609468</v>
      </c>
      <c r="D146" s="58">
        <f t="shared" ref="D146:O146" si="39">SUM(D128:D145)</f>
        <v>323965</v>
      </c>
      <c r="E146" s="58">
        <f t="shared" si="39"/>
        <v>574427</v>
      </c>
      <c r="F146" s="58">
        <f t="shared" si="39"/>
        <v>9025</v>
      </c>
      <c r="G146" s="58">
        <f t="shared" si="39"/>
        <v>907417</v>
      </c>
      <c r="H146" s="58">
        <f t="shared" si="39"/>
        <v>2252107</v>
      </c>
      <c r="I146" s="58">
        <f t="shared" si="39"/>
        <v>4151535</v>
      </c>
      <c r="J146" s="58">
        <f t="shared" si="39"/>
        <v>75687</v>
      </c>
      <c r="K146" s="58">
        <f t="shared" si="39"/>
        <v>6479329</v>
      </c>
      <c r="L146" s="58">
        <f t="shared" si="39"/>
        <v>348601</v>
      </c>
      <c r="M146" s="58">
        <f t="shared" si="39"/>
        <v>863189</v>
      </c>
      <c r="N146" s="58">
        <f t="shared" si="39"/>
        <v>10932</v>
      </c>
      <c r="O146" s="58">
        <f t="shared" si="39"/>
        <v>1222722</v>
      </c>
      <c r="R146" s="62">
        <f t="shared" si="37"/>
        <v>8609468</v>
      </c>
      <c r="S146" s="62">
        <f t="shared" si="38"/>
        <v>0</v>
      </c>
    </row>
    <row r="148" spans="1:34" s="4" customFormat="1" ht="28.5" customHeight="1" x14ac:dyDescent="0.25">
      <c r="A148" s="152" t="s">
        <v>17</v>
      </c>
      <c r="B148" s="152" t="s">
        <v>33</v>
      </c>
      <c r="C148" s="152" t="s">
        <v>79</v>
      </c>
      <c r="D148" s="152" t="s">
        <v>69</v>
      </c>
      <c r="E148" s="152"/>
      <c r="F148" s="152"/>
      <c r="G148" s="152"/>
      <c r="H148" s="152"/>
      <c r="I148" s="152"/>
      <c r="J148" s="152"/>
      <c r="K148" s="152"/>
      <c r="L148" s="152"/>
      <c r="M148" s="152"/>
      <c r="N148" s="152"/>
      <c r="O148" s="152"/>
      <c r="R148" s="61"/>
      <c r="S148" s="61"/>
      <c r="V148" s="61"/>
      <c r="W148" s="61"/>
      <c r="X148" s="61"/>
      <c r="Y148" s="61"/>
      <c r="Z148" s="61"/>
      <c r="AC148" s="95"/>
      <c r="AD148" s="95"/>
      <c r="AE148" s="95"/>
      <c r="AF148" s="95"/>
      <c r="AG148" s="93"/>
      <c r="AH148" s="95"/>
    </row>
    <row r="149" spans="1:34" s="4" customFormat="1" ht="41.25" customHeight="1" x14ac:dyDescent="0.25">
      <c r="A149" s="152"/>
      <c r="B149" s="152"/>
      <c r="C149" s="152"/>
      <c r="D149" s="154" t="s">
        <v>36</v>
      </c>
      <c r="E149" s="154"/>
      <c r="F149" s="154"/>
      <c r="G149" s="154"/>
      <c r="H149" s="155" t="s">
        <v>37</v>
      </c>
      <c r="I149" s="156"/>
      <c r="J149" s="156"/>
      <c r="K149" s="157"/>
      <c r="L149" s="155" t="s">
        <v>38</v>
      </c>
      <c r="M149" s="156"/>
      <c r="N149" s="156"/>
      <c r="O149" s="157"/>
      <c r="R149" s="61"/>
      <c r="S149" s="61"/>
      <c r="V149" s="61"/>
      <c r="W149" s="61"/>
      <c r="X149" s="61"/>
      <c r="Y149" s="61"/>
      <c r="Z149" s="61"/>
      <c r="AC149" s="95"/>
      <c r="AD149" s="95"/>
      <c r="AE149" s="95"/>
      <c r="AF149" s="95"/>
      <c r="AG149" s="93"/>
      <c r="AH149" s="95"/>
    </row>
    <row r="150" spans="1:34" s="4" customFormat="1" ht="59.25" customHeight="1" x14ac:dyDescent="0.25">
      <c r="A150" s="152"/>
      <c r="B150" s="152"/>
      <c r="C150" s="152"/>
      <c r="D150" s="83" t="s">
        <v>66</v>
      </c>
      <c r="E150" s="83" t="s">
        <v>67</v>
      </c>
      <c r="F150" s="83" t="s">
        <v>68</v>
      </c>
      <c r="G150" s="83" t="s">
        <v>70</v>
      </c>
      <c r="H150" s="65" t="s">
        <v>66</v>
      </c>
      <c r="I150" s="65" t="s">
        <v>67</v>
      </c>
      <c r="J150" s="65" t="s">
        <v>68</v>
      </c>
      <c r="K150" s="65" t="s">
        <v>71</v>
      </c>
      <c r="L150" s="65" t="s">
        <v>66</v>
      </c>
      <c r="M150" s="65" t="s">
        <v>67</v>
      </c>
      <c r="N150" s="65" t="s">
        <v>68</v>
      </c>
      <c r="O150" s="65" t="s">
        <v>72</v>
      </c>
      <c r="R150" s="61"/>
      <c r="S150" s="61"/>
      <c r="V150" s="61"/>
      <c r="W150" s="61"/>
      <c r="X150" s="61"/>
      <c r="Y150" s="61"/>
      <c r="Z150" s="61"/>
      <c r="AC150" s="95"/>
      <c r="AD150" s="95"/>
      <c r="AE150" s="95"/>
      <c r="AF150" s="95"/>
      <c r="AG150" s="93"/>
      <c r="AH150" s="95"/>
    </row>
    <row r="151" spans="1:34" s="3" customFormat="1" ht="14.25" customHeight="1" x14ac:dyDescent="0.25">
      <c r="A151" s="53">
        <v>1</v>
      </c>
      <c r="B151" s="53">
        <v>2</v>
      </c>
      <c r="C151" s="53">
        <v>3</v>
      </c>
      <c r="D151" s="53">
        <v>4</v>
      </c>
      <c r="E151" s="53">
        <v>5</v>
      </c>
      <c r="F151" s="53">
        <v>6</v>
      </c>
      <c r="G151" s="53">
        <v>7</v>
      </c>
      <c r="H151" s="66">
        <v>8</v>
      </c>
      <c r="I151" s="66">
        <v>9</v>
      </c>
      <c r="J151" s="66">
        <v>10</v>
      </c>
      <c r="K151" s="66">
        <v>11</v>
      </c>
      <c r="L151" s="66">
        <v>12</v>
      </c>
      <c r="M151" s="66">
        <v>13</v>
      </c>
      <c r="N151" s="66">
        <v>14</v>
      </c>
      <c r="O151" s="66">
        <v>15</v>
      </c>
      <c r="R151" s="61"/>
      <c r="S151" s="61"/>
      <c r="V151" s="61"/>
      <c r="W151" s="61"/>
      <c r="X151" s="61"/>
      <c r="Y151" s="61"/>
      <c r="Z151" s="61"/>
      <c r="AC151" s="95"/>
      <c r="AD151" s="95"/>
      <c r="AE151" s="95"/>
      <c r="AF151" s="95"/>
      <c r="AG151" s="94"/>
      <c r="AH151" s="95"/>
    </row>
    <row r="152" spans="1:34" s="3" customFormat="1" ht="25.5" customHeight="1" x14ac:dyDescent="0.25">
      <c r="A152" s="53" t="s">
        <v>16</v>
      </c>
      <c r="B152" s="54" t="s">
        <v>15</v>
      </c>
      <c r="C152" s="55">
        <v>2208960</v>
      </c>
      <c r="D152" s="55">
        <v>70966</v>
      </c>
      <c r="E152" s="55">
        <v>273698</v>
      </c>
      <c r="F152" s="55">
        <v>0</v>
      </c>
      <c r="G152" s="55">
        <f>D152+E152+F152</f>
        <v>344664</v>
      </c>
      <c r="H152" s="63">
        <v>299238</v>
      </c>
      <c r="I152" s="63">
        <v>1154081</v>
      </c>
      <c r="J152" s="63">
        <v>0</v>
      </c>
      <c r="K152" s="63">
        <f>H152+I152+J152</f>
        <v>1453319</v>
      </c>
      <c r="L152" s="63">
        <v>84620</v>
      </c>
      <c r="M152" s="63">
        <v>326357</v>
      </c>
      <c r="N152" s="63">
        <v>0</v>
      </c>
      <c r="O152" s="63">
        <f>L152+M152+N152</f>
        <v>410977</v>
      </c>
      <c r="R152" s="62">
        <f>G152+K152+O152</f>
        <v>2208960</v>
      </c>
      <c r="S152" s="62">
        <f>R152-C152</f>
        <v>0</v>
      </c>
      <c r="V152" s="61"/>
      <c r="W152" s="61"/>
      <c r="X152" s="61"/>
      <c r="Y152" s="61"/>
      <c r="Z152" s="61"/>
      <c r="AC152" s="95"/>
      <c r="AD152" s="95"/>
      <c r="AE152" s="95"/>
      <c r="AF152" s="95"/>
      <c r="AG152" s="94"/>
      <c r="AH152" s="95"/>
    </row>
    <row r="153" spans="1:34" ht="40.5" customHeight="1" x14ac:dyDescent="0.25">
      <c r="A153" s="56" t="s">
        <v>24</v>
      </c>
      <c r="B153" s="54" t="s">
        <v>14</v>
      </c>
      <c r="C153" s="55">
        <v>271373</v>
      </c>
      <c r="D153" s="55">
        <v>28522</v>
      </c>
      <c r="E153" s="55">
        <v>26857</v>
      </c>
      <c r="F153" s="55">
        <v>855</v>
      </c>
      <c r="G153" s="55">
        <f t="shared" ref="G153:G169" si="40">D153+E153+F153</f>
        <v>56234</v>
      </c>
      <c r="H153" s="63">
        <v>83820</v>
      </c>
      <c r="I153" s="63">
        <v>78929</v>
      </c>
      <c r="J153" s="63">
        <v>2512</v>
      </c>
      <c r="K153" s="63">
        <f t="shared" ref="K153:K169" si="41">H153+I153+J153</f>
        <v>165261</v>
      </c>
      <c r="L153" s="63">
        <v>25298</v>
      </c>
      <c r="M153" s="63">
        <v>23822</v>
      </c>
      <c r="N153" s="63">
        <v>758</v>
      </c>
      <c r="O153" s="63">
        <f t="shared" ref="O153:O169" si="42">L153+M153+N153</f>
        <v>49878</v>
      </c>
      <c r="R153" s="62">
        <f t="shared" ref="R153:R170" si="43">G153+K153+O153</f>
        <v>271373</v>
      </c>
      <c r="S153" s="62">
        <f t="shared" ref="S153:S170" si="44">R153-C153</f>
        <v>0</v>
      </c>
    </row>
    <row r="154" spans="1:34" ht="34.5" customHeight="1" x14ac:dyDescent="0.25">
      <c r="A154" s="56" t="s">
        <v>23</v>
      </c>
      <c r="B154" s="54" t="s">
        <v>13</v>
      </c>
      <c r="C154" s="55">
        <v>539868</v>
      </c>
      <c r="D154" s="55">
        <v>0</v>
      </c>
      <c r="E154" s="55">
        <v>30600</v>
      </c>
      <c r="F154" s="55">
        <v>0</v>
      </c>
      <c r="G154" s="55">
        <f t="shared" si="40"/>
        <v>30600</v>
      </c>
      <c r="H154" s="63">
        <v>0</v>
      </c>
      <c r="I154" s="63">
        <v>453570</v>
      </c>
      <c r="J154" s="63">
        <v>0</v>
      </c>
      <c r="K154" s="63">
        <f t="shared" si="41"/>
        <v>453570</v>
      </c>
      <c r="L154" s="63">
        <v>0</v>
      </c>
      <c r="M154" s="63">
        <v>55698</v>
      </c>
      <c r="N154" s="63">
        <v>0</v>
      </c>
      <c r="O154" s="63">
        <f t="shared" si="42"/>
        <v>55698</v>
      </c>
      <c r="R154" s="62">
        <f t="shared" si="43"/>
        <v>539868</v>
      </c>
      <c r="S154" s="62">
        <f t="shared" si="44"/>
        <v>0</v>
      </c>
    </row>
    <row r="155" spans="1:34" ht="40.5" customHeight="1" x14ac:dyDescent="0.25">
      <c r="A155" s="56" t="s">
        <v>22</v>
      </c>
      <c r="B155" s="54" t="s">
        <v>12</v>
      </c>
      <c r="C155" s="55">
        <v>313207</v>
      </c>
      <c r="D155" s="55">
        <v>36028</v>
      </c>
      <c r="E155" s="55">
        <v>0</v>
      </c>
      <c r="F155" s="55">
        <v>0</v>
      </c>
      <c r="G155" s="55">
        <f t="shared" si="40"/>
        <v>36028</v>
      </c>
      <c r="H155" s="63">
        <v>234317</v>
      </c>
      <c r="I155" s="63">
        <v>0</v>
      </c>
      <c r="J155" s="63">
        <v>0</v>
      </c>
      <c r="K155" s="63">
        <f t="shared" si="41"/>
        <v>234317</v>
      </c>
      <c r="L155" s="63">
        <v>42862</v>
      </c>
      <c r="M155" s="63">
        <v>0</v>
      </c>
      <c r="N155" s="63">
        <v>0</v>
      </c>
      <c r="O155" s="63">
        <f t="shared" si="42"/>
        <v>42862</v>
      </c>
      <c r="R155" s="62">
        <f t="shared" si="43"/>
        <v>313207</v>
      </c>
      <c r="S155" s="62">
        <f t="shared" si="44"/>
        <v>0</v>
      </c>
    </row>
    <row r="156" spans="1:34" ht="39.75" customHeight="1" x14ac:dyDescent="0.25">
      <c r="A156" s="56" t="s">
        <v>21</v>
      </c>
      <c r="B156" s="54" t="s">
        <v>11</v>
      </c>
      <c r="C156" s="55">
        <v>102545</v>
      </c>
      <c r="D156" s="55">
        <v>4041</v>
      </c>
      <c r="E156" s="55">
        <v>6330</v>
      </c>
      <c r="F156" s="55">
        <v>2740</v>
      </c>
      <c r="G156" s="55">
        <f t="shared" si="40"/>
        <v>13111</v>
      </c>
      <c r="H156" s="63">
        <v>21435</v>
      </c>
      <c r="I156" s="63">
        <v>33577</v>
      </c>
      <c r="J156" s="63">
        <v>14535</v>
      </c>
      <c r="K156" s="63">
        <f t="shared" si="41"/>
        <v>69547</v>
      </c>
      <c r="L156" s="63">
        <v>6129</v>
      </c>
      <c r="M156" s="63">
        <v>9602</v>
      </c>
      <c r="N156" s="63">
        <v>4156</v>
      </c>
      <c r="O156" s="63">
        <f t="shared" si="42"/>
        <v>19887</v>
      </c>
      <c r="R156" s="62">
        <f t="shared" si="43"/>
        <v>102545</v>
      </c>
      <c r="S156" s="62">
        <f t="shared" si="44"/>
        <v>0</v>
      </c>
    </row>
    <row r="157" spans="1:34" ht="28.5" customHeight="1" x14ac:dyDescent="0.25">
      <c r="A157" s="56" t="s">
        <v>20</v>
      </c>
      <c r="B157" s="54" t="s">
        <v>34</v>
      </c>
      <c r="C157" s="55">
        <v>211978</v>
      </c>
      <c r="D157" s="55">
        <v>39678</v>
      </c>
      <c r="E157" s="55">
        <v>0</v>
      </c>
      <c r="F157" s="55">
        <v>0</v>
      </c>
      <c r="G157" s="55">
        <f t="shared" si="40"/>
        <v>39678</v>
      </c>
      <c r="H157" s="63">
        <v>129512</v>
      </c>
      <c r="I157" s="63">
        <v>0</v>
      </c>
      <c r="J157" s="63">
        <v>0</v>
      </c>
      <c r="K157" s="63">
        <f t="shared" si="41"/>
        <v>129512</v>
      </c>
      <c r="L157" s="63">
        <v>42788</v>
      </c>
      <c r="M157" s="63">
        <v>0</v>
      </c>
      <c r="N157" s="63">
        <v>0</v>
      </c>
      <c r="O157" s="63">
        <f t="shared" si="42"/>
        <v>42788</v>
      </c>
      <c r="R157" s="62">
        <f t="shared" si="43"/>
        <v>211978</v>
      </c>
      <c r="S157" s="62">
        <f t="shared" si="44"/>
        <v>0</v>
      </c>
    </row>
    <row r="158" spans="1:34" ht="34.5" customHeight="1" x14ac:dyDescent="0.25">
      <c r="A158" s="56" t="s">
        <v>19</v>
      </c>
      <c r="B158" s="54" t="s">
        <v>10</v>
      </c>
      <c r="C158" s="55">
        <v>795293</v>
      </c>
      <c r="D158" s="55">
        <v>17266</v>
      </c>
      <c r="E158" s="55">
        <v>22587</v>
      </c>
      <c r="F158" s="55">
        <v>1081</v>
      </c>
      <c r="G158" s="55">
        <f t="shared" si="40"/>
        <v>40934</v>
      </c>
      <c r="H158" s="63">
        <v>268538</v>
      </c>
      <c r="I158" s="63">
        <v>351302</v>
      </c>
      <c r="J158" s="63">
        <v>16808</v>
      </c>
      <c r="K158" s="63">
        <f t="shared" si="41"/>
        <v>636648</v>
      </c>
      <c r="L158" s="63">
        <v>49651</v>
      </c>
      <c r="M158" s="63">
        <v>64953</v>
      </c>
      <c r="N158" s="63">
        <v>3107</v>
      </c>
      <c r="O158" s="63">
        <f t="shared" si="42"/>
        <v>117711</v>
      </c>
      <c r="R158" s="62">
        <f t="shared" si="43"/>
        <v>795293</v>
      </c>
      <c r="S158" s="62">
        <f t="shared" si="44"/>
        <v>0</v>
      </c>
    </row>
    <row r="159" spans="1:34" ht="25.5" customHeight="1" x14ac:dyDescent="0.25">
      <c r="A159" s="56" t="s">
        <v>18</v>
      </c>
      <c r="B159" s="54" t="s">
        <v>9</v>
      </c>
      <c r="C159" s="55">
        <v>324158</v>
      </c>
      <c r="D159" s="55">
        <v>18450</v>
      </c>
      <c r="E159" s="55">
        <v>59627</v>
      </c>
      <c r="F159" s="55">
        <v>0</v>
      </c>
      <c r="G159" s="55">
        <f t="shared" si="40"/>
        <v>78077</v>
      </c>
      <c r="H159" s="63">
        <v>57648</v>
      </c>
      <c r="I159" s="63">
        <v>186313</v>
      </c>
      <c r="J159" s="63">
        <v>0</v>
      </c>
      <c r="K159" s="63">
        <f t="shared" si="41"/>
        <v>243961</v>
      </c>
      <c r="L159" s="63">
        <v>501</v>
      </c>
      <c r="M159" s="63">
        <v>1619</v>
      </c>
      <c r="N159" s="63">
        <v>0</v>
      </c>
      <c r="O159" s="63">
        <f t="shared" si="42"/>
        <v>2120</v>
      </c>
      <c r="R159" s="62">
        <f t="shared" si="43"/>
        <v>324158</v>
      </c>
      <c r="S159" s="62">
        <f t="shared" si="44"/>
        <v>0</v>
      </c>
    </row>
    <row r="160" spans="1:34" ht="25.5" customHeight="1" x14ac:dyDescent="0.25">
      <c r="A160" s="56" t="s">
        <v>25</v>
      </c>
      <c r="B160" s="54" t="s">
        <v>8</v>
      </c>
      <c r="C160" s="55">
        <v>945273</v>
      </c>
      <c r="D160" s="55">
        <v>5321</v>
      </c>
      <c r="E160" s="55">
        <v>32018</v>
      </c>
      <c r="F160" s="55">
        <v>0</v>
      </c>
      <c r="G160" s="55">
        <f t="shared" si="40"/>
        <v>37339</v>
      </c>
      <c r="H160" s="63">
        <v>86354</v>
      </c>
      <c r="I160" s="63">
        <v>519641</v>
      </c>
      <c r="J160" s="63">
        <v>0</v>
      </c>
      <c r="K160" s="63">
        <f t="shared" si="41"/>
        <v>605995</v>
      </c>
      <c r="L160" s="63">
        <v>43026</v>
      </c>
      <c r="M160" s="63">
        <v>258913</v>
      </c>
      <c r="N160" s="63">
        <v>0</v>
      </c>
      <c r="O160" s="63">
        <f t="shared" si="42"/>
        <v>301939</v>
      </c>
      <c r="R160" s="62">
        <f t="shared" si="43"/>
        <v>945273</v>
      </c>
      <c r="S160" s="62">
        <f t="shared" si="44"/>
        <v>0</v>
      </c>
    </row>
    <row r="161" spans="1:34" ht="25.5" customHeight="1" x14ac:dyDescent="0.25">
      <c r="A161" s="56" t="s">
        <v>26</v>
      </c>
      <c r="B161" s="54" t="s">
        <v>7</v>
      </c>
      <c r="C161" s="55">
        <v>547001</v>
      </c>
      <c r="D161" s="55">
        <v>1243</v>
      </c>
      <c r="E161" s="55">
        <v>8751</v>
      </c>
      <c r="F161" s="55">
        <v>0</v>
      </c>
      <c r="G161" s="55">
        <f t="shared" si="40"/>
        <v>9994</v>
      </c>
      <c r="H161" s="63">
        <v>60737</v>
      </c>
      <c r="I161" s="63">
        <v>427505</v>
      </c>
      <c r="J161" s="63">
        <v>0</v>
      </c>
      <c r="K161" s="63">
        <f t="shared" si="41"/>
        <v>488242</v>
      </c>
      <c r="L161" s="63">
        <v>6066</v>
      </c>
      <c r="M161" s="63">
        <v>42699</v>
      </c>
      <c r="N161" s="63">
        <v>0</v>
      </c>
      <c r="O161" s="63">
        <f t="shared" si="42"/>
        <v>48765</v>
      </c>
      <c r="R161" s="62">
        <f t="shared" si="43"/>
        <v>547001</v>
      </c>
      <c r="S161" s="62">
        <f t="shared" si="44"/>
        <v>0</v>
      </c>
    </row>
    <row r="162" spans="1:34" ht="25.5" customHeight="1" x14ac:dyDescent="0.25">
      <c r="A162" s="56" t="s">
        <v>27</v>
      </c>
      <c r="B162" s="54" t="s">
        <v>6</v>
      </c>
      <c r="C162" s="55">
        <v>275216</v>
      </c>
      <c r="D162" s="55">
        <v>985</v>
      </c>
      <c r="E162" s="55">
        <v>911</v>
      </c>
      <c r="F162" s="55">
        <v>22</v>
      </c>
      <c r="G162" s="55">
        <f t="shared" si="40"/>
        <v>1918</v>
      </c>
      <c r="H162" s="63">
        <v>140181</v>
      </c>
      <c r="I162" s="63">
        <v>129593</v>
      </c>
      <c r="J162" s="63">
        <v>3111</v>
      </c>
      <c r="K162" s="63">
        <f t="shared" si="41"/>
        <v>272885</v>
      </c>
      <c r="L162" s="63">
        <v>212</v>
      </c>
      <c r="M162" s="63">
        <v>196</v>
      </c>
      <c r="N162" s="63">
        <v>5</v>
      </c>
      <c r="O162" s="63">
        <f t="shared" si="42"/>
        <v>413</v>
      </c>
      <c r="R162" s="62">
        <f t="shared" si="43"/>
        <v>275216</v>
      </c>
      <c r="S162" s="62">
        <f t="shared" si="44"/>
        <v>0</v>
      </c>
    </row>
    <row r="163" spans="1:34" ht="25.5" customHeight="1" x14ac:dyDescent="0.25">
      <c r="A163" s="56" t="s">
        <v>28</v>
      </c>
      <c r="B163" s="54" t="s">
        <v>5</v>
      </c>
      <c r="C163" s="55">
        <v>576190</v>
      </c>
      <c r="D163" s="55">
        <v>22049</v>
      </c>
      <c r="E163" s="55">
        <v>54837</v>
      </c>
      <c r="F163" s="55">
        <v>2830</v>
      </c>
      <c r="G163" s="55">
        <f t="shared" si="40"/>
        <v>79716</v>
      </c>
      <c r="H163" s="63">
        <v>135988</v>
      </c>
      <c r="I163" s="63">
        <v>338199</v>
      </c>
      <c r="J163" s="63">
        <v>17453</v>
      </c>
      <c r="K163" s="63">
        <f t="shared" si="41"/>
        <v>491640</v>
      </c>
      <c r="L163" s="63">
        <v>1337</v>
      </c>
      <c r="M163" s="63">
        <v>3325</v>
      </c>
      <c r="N163" s="63">
        <v>172</v>
      </c>
      <c r="O163" s="63">
        <f t="shared" si="42"/>
        <v>4834</v>
      </c>
      <c r="R163" s="62">
        <f t="shared" si="43"/>
        <v>576190</v>
      </c>
      <c r="S163" s="62">
        <f t="shared" si="44"/>
        <v>0</v>
      </c>
    </row>
    <row r="164" spans="1:34" ht="25.5" customHeight="1" x14ac:dyDescent="0.25">
      <c r="A164" s="56" t="s">
        <v>29</v>
      </c>
      <c r="B164" s="54" t="s">
        <v>4</v>
      </c>
      <c r="C164" s="55">
        <v>292894</v>
      </c>
      <c r="D164" s="55">
        <v>5680</v>
      </c>
      <c r="E164" s="55">
        <v>9571</v>
      </c>
      <c r="F164" s="55">
        <v>395</v>
      </c>
      <c r="G164" s="55">
        <f t="shared" si="40"/>
        <v>15646</v>
      </c>
      <c r="H164" s="63">
        <v>97316</v>
      </c>
      <c r="I164" s="63">
        <v>163990</v>
      </c>
      <c r="J164" s="63">
        <v>6783</v>
      </c>
      <c r="K164" s="63">
        <f t="shared" si="41"/>
        <v>268089</v>
      </c>
      <c r="L164" s="63">
        <v>3325</v>
      </c>
      <c r="M164" s="63">
        <v>5602</v>
      </c>
      <c r="N164" s="63">
        <v>232</v>
      </c>
      <c r="O164" s="63">
        <f t="shared" si="42"/>
        <v>9159</v>
      </c>
      <c r="R164" s="62">
        <f t="shared" si="43"/>
        <v>292894</v>
      </c>
      <c r="S164" s="62">
        <f t="shared" si="44"/>
        <v>0</v>
      </c>
    </row>
    <row r="165" spans="1:34" ht="25.5" customHeight="1" x14ac:dyDescent="0.25">
      <c r="A165" s="56">
        <v>14</v>
      </c>
      <c r="B165" s="54" t="s">
        <v>3</v>
      </c>
      <c r="C165" s="55">
        <v>677961</v>
      </c>
      <c r="D165" s="55">
        <v>32495</v>
      </c>
      <c r="E165" s="55">
        <v>15998</v>
      </c>
      <c r="F165" s="55">
        <v>1500</v>
      </c>
      <c r="G165" s="55">
        <f t="shared" si="40"/>
        <v>49993</v>
      </c>
      <c r="H165" s="63">
        <v>363072</v>
      </c>
      <c r="I165" s="63">
        <v>178743</v>
      </c>
      <c r="J165" s="63">
        <v>16757</v>
      </c>
      <c r="K165" s="63">
        <f t="shared" si="41"/>
        <v>558572</v>
      </c>
      <c r="L165" s="63">
        <v>45107</v>
      </c>
      <c r="M165" s="63">
        <v>22207</v>
      </c>
      <c r="N165" s="63">
        <v>2082</v>
      </c>
      <c r="O165" s="63">
        <f t="shared" si="42"/>
        <v>69396</v>
      </c>
      <c r="R165" s="62">
        <f t="shared" si="43"/>
        <v>677961</v>
      </c>
      <c r="S165" s="62">
        <f t="shared" si="44"/>
        <v>0</v>
      </c>
    </row>
    <row r="166" spans="1:34" ht="54" customHeight="1" x14ac:dyDescent="0.25">
      <c r="A166" s="56" t="s">
        <v>30</v>
      </c>
      <c r="B166" s="54" t="s">
        <v>2</v>
      </c>
      <c r="C166" s="55">
        <v>39648</v>
      </c>
      <c r="D166" s="55">
        <v>1123</v>
      </c>
      <c r="E166" s="55">
        <v>0</v>
      </c>
      <c r="F166" s="55">
        <v>0</v>
      </c>
      <c r="G166" s="55">
        <f t="shared" si="40"/>
        <v>1123</v>
      </c>
      <c r="H166" s="63">
        <v>33192</v>
      </c>
      <c r="I166" s="63">
        <v>0</v>
      </c>
      <c r="J166" s="63">
        <v>0</v>
      </c>
      <c r="K166" s="63">
        <f t="shared" si="41"/>
        <v>33192</v>
      </c>
      <c r="L166" s="63">
        <v>5333</v>
      </c>
      <c r="M166" s="63">
        <v>0</v>
      </c>
      <c r="N166" s="63">
        <v>0</v>
      </c>
      <c r="O166" s="63">
        <f t="shared" si="42"/>
        <v>5333</v>
      </c>
      <c r="R166" s="62">
        <f t="shared" si="43"/>
        <v>39648</v>
      </c>
      <c r="S166" s="62">
        <f t="shared" si="44"/>
        <v>0</v>
      </c>
    </row>
    <row r="167" spans="1:34" ht="39.75" customHeight="1" x14ac:dyDescent="0.25">
      <c r="A167" s="56" t="s">
        <v>31</v>
      </c>
      <c r="B167" s="54" t="s">
        <v>1</v>
      </c>
      <c r="C167" s="55">
        <v>37872</v>
      </c>
      <c r="D167" s="55">
        <v>2817</v>
      </c>
      <c r="E167" s="55">
        <v>0</v>
      </c>
      <c r="F167" s="55">
        <v>0</v>
      </c>
      <c r="G167" s="55">
        <f t="shared" si="40"/>
        <v>2817</v>
      </c>
      <c r="H167" s="63">
        <v>33527</v>
      </c>
      <c r="I167" s="63">
        <v>0</v>
      </c>
      <c r="J167" s="63">
        <v>0</v>
      </c>
      <c r="K167" s="63">
        <f t="shared" si="41"/>
        <v>33527</v>
      </c>
      <c r="L167" s="63">
        <v>1528</v>
      </c>
      <c r="M167" s="63">
        <v>0</v>
      </c>
      <c r="N167" s="63">
        <v>0</v>
      </c>
      <c r="O167" s="63">
        <f t="shared" si="42"/>
        <v>1528</v>
      </c>
      <c r="R167" s="62">
        <f t="shared" si="43"/>
        <v>37872</v>
      </c>
      <c r="S167" s="62">
        <f t="shared" si="44"/>
        <v>0</v>
      </c>
    </row>
    <row r="168" spans="1:34" ht="33" customHeight="1" x14ac:dyDescent="0.25">
      <c r="A168" s="56" t="s">
        <v>32</v>
      </c>
      <c r="B168" s="54" t="s">
        <v>73</v>
      </c>
      <c r="C168" s="55">
        <v>21248</v>
      </c>
      <c r="D168" s="55">
        <v>4180</v>
      </c>
      <c r="E168" s="55">
        <v>0</v>
      </c>
      <c r="F168" s="55">
        <v>0</v>
      </c>
      <c r="G168" s="55">
        <f t="shared" si="40"/>
        <v>4180</v>
      </c>
      <c r="H168" s="63">
        <v>13680</v>
      </c>
      <c r="I168" s="63">
        <v>0</v>
      </c>
      <c r="J168" s="63">
        <v>0</v>
      </c>
      <c r="K168" s="63">
        <f t="shared" si="41"/>
        <v>13680</v>
      </c>
      <c r="L168" s="63">
        <v>3388</v>
      </c>
      <c r="M168" s="63">
        <v>0</v>
      </c>
      <c r="N168" s="63">
        <v>0</v>
      </c>
      <c r="O168" s="63">
        <f t="shared" si="42"/>
        <v>3388</v>
      </c>
      <c r="R168" s="62">
        <f t="shared" si="43"/>
        <v>21248</v>
      </c>
      <c r="S168" s="62">
        <f t="shared" si="44"/>
        <v>0</v>
      </c>
    </row>
    <row r="169" spans="1:34" ht="33" customHeight="1" x14ac:dyDescent="0.25">
      <c r="A169" s="56" t="s">
        <v>90</v>
      </c>
      <c r="B169" s="70" t="s">
        <v>91</v>
      </c>
      <c r="C169" s="55">
        <f>E169+I169+M169</f>
        <v>61662</v>
      </c>
      <c r="D169" s="55">
        <v>0</v>
      </c>
      <c r="E169" s="55">
        <v>10436</v>
      </c>
      <c r="F169" s="55">
        <v>0</v>
      </c>
      <c r="G169" s="55">
        <f t="shared" si="40"/>
        <v>10436</v>
      </c>
      <c r="H169" s="63">
        <v>0</v>
      </c>
      <c r="I169" s="63">
        <v>34306</v>
      </c>
      <c r="J169" s="63">
        <v>0</v>
      </c>
      <c r="K169" s="63">
        <f t="shared" si="41"/>
        <v>34306</v>
      </c>
      <c r="L169" s="63">
        <v>0</v>
      </c>
      <c r="M169" s="63">
        <v>16920</v>
      </c>
      <c r="N169" s="63">
        <v>0</v>
      </c>
      <c r="O169" s="63">
        <f t="shared" si="42"/>
        <v>16920</v>
      </c>
      <c r="R169" s="62">
        <f t="shared" si="43"/>
        <v>61662</v>
      </c>
      <c r="S169" s="62">
        <f>R169-C169</f>
        <v>0</v>
      </c>
    </row>
    <row r="170" spans="1:34" ht="25.5" customHeight="1" x14ac:dyDescent="0.25">
      <c r="A170" s="57"/>
      <c r="B170" s="57" t="s">
        <v>0</v>
      </c>
      <c r="C170" s="58">
        <f>SUM(C152:C169)</f>
        <v>8242347</v>
      </c>
      <c r="D170" s="58">
        <f t="shared" ref="D170:O170" si="45">SUM(D152:D169)</f>
        <v>290844</v>
      </c>
      <c r="E170" s="58">
        <f t="shared" si="45"/>
        <v>552221</v>
      </c>
      <c r="F170" s="58">
        <f t="shared" si="45"/>
        <v>9423</v>
      </c>
      <c r="G170" s="58">
        <f t="shared" si="45"/>
        <v>852488</v>
      </c>
      <c r="H170" s="58">
        <f t="shared" si="45"/>
        <v>2058555</v>
      </c>
      <c r="I170" s="58">
        <f t="shared" si="45"/>
        <v>4049749</v>
      </c>
      <c r="J170" s="58">
        <f t="shared" si="45"/>
        <v>77959</v>
      </c>
      <c r="K170" s="58">
        <f t="shared" si="45"/>
        <v>6186263</v>
      </c>
      <c r="L170" s="58">
        <f t="shared" si="45"/>
        <v>361171</v>
      </c>
      <c r="M170" s="58">
        <f t="shared" si="45"/>
        <v>831913</v>
      </c>
      <c r="N170" s="58">
        <f t="shared" si="45"/>
        <v>10512</v>
      </c>
      <c r="O170" s="58">
        <f t="shared" si="45"/>
        <v>1203596</v>
      </c>
      <c r="R170" s="62">
        <f t="shared" si="43"/>
        <v>8242347</v>
      </c>
      <c r="S170" s="62">
        <f t="shared" si="44"/>
        <v>0</v>
      </c>
    </row>
    <row r="172" spans="1:34" s="4" customFormat="1" ht="28.5" customHeight="1" x14ac:dyDescent="0.25">
      <c r="A172" s="152" t="s">
        <v>17</v>
      </c>
      <c r="B172" s="152" t="s">
        <v>33</v>
      </c>
      <c r="C172" s="159" t="s">
        <v>80</v>
      </c>
      <c r="D172" s="152" t="s">
        <v>69</v>
      </c>
      <c r="E172" s="152"/>
      <c r="F172" s="152"/>
      <c r="G172" s="152"/>
      <c r="H172" s="152"/>
      <c r="I172" s="152"/>
      <c r="J172" s="152"/>
      <c r="K172" s="152"/>
      <c r="L172" s="152"/>
      <c r="M172" s="152"/>
      <c r="N172" s="152"/>
      <c r="O172" s="152"/>
      <c r="R172" s="61"/>
      <c r="S172" s="61"/>
      <c r="V172" s="61"/>
      <c r="W172" s="61"/>
      <c r="X172" s="61"/>
      <c r="Y172" s="61"/>
      <c r="Z172" s="61"/>
      <c r="AC172" s="95"/>
      <c r="AD172" s="95"/>
      <c r="AE172" s="95"/>
      <c r="AF172" s="95"/>
      <c r="AG172" s="93"/>
      <c r="AH172" s="95"/>
    </row>
    <row r="173" spans="1:34" s="4" customFormat="1" ht="41.25" customHeight="1" x14ac:dyDescent="0.25">
      <c r="A173" s="152"/>
      <c r="B173" s="152"/>
      <c r="C173" s="159"/>
      <c r="D173" s="154" t="s">
        <v>36</v>
      </c>
      <c r="E173" s="154"/>
      <c r="F173" s="154"/>
      <c r="G173" s="154"/>
      <c r="H173" s="155" t="s">
        <v>37</v>
      </c>
      <c r="I173" s="156"/>
      <c r="J173" s="156"/>
      <c r="K173" s="157"/>
      <c r="L173" s="155" t="s">
        <v>38</v>
      </c>
      <c r="M173" s="156"/>
      <c r="N173" s="156"/>
      <c r="O173" s="157"/>
      <c r="R173" s="61"/>
      <c r="S173" s="61"/>
      <c r="V173" s="61"/>
      <c r="W173" s="61"/>
      <c r="X173" s="61"/>
      <c r="Y173" s="61"/>
      <c r="Z173" s="61"/>
      <c r="AC173" s="95"/>
      <c r="AD173" s="95"/>
      <c r="AE173" s="95"/>
      <c r="AF173" s="95"/>
      <c r="AG173" s="93"/>
      <c r="AH173" s="95"/>
    </row>
    <row r="174" spans="1:34" s="4" customFormat="1" ht="59.25" customHeight="1" x14ac:dyDescent="0.25">
      <c r="A174" s="152"/>
      <c r="B174" s="152"/>
      <c r="C174" s="159"/>
      <c r="D174" s="83" t="s">
        <v>66</v>
      </c>
      <c r="E174" s="83" t="s">
        <v>67</v>
      </c>
      <c r="F174" s="83" t="s">
        <v>68</v>
      </c>
      <c r="G174" s="83" t="s">
        <v>70</v>
      </c>
      <c r="H174" s="65" t="s">
        <v>66</v>
      </c>
      <c r="I174" s="65" t="s">
        <v>67</v>
      </c>
      <c r="J174" s="65" t="s">
        <v>68</v>
      </c>
      <c r="K174" s="65" t="s">
        <v>71</v>
      </c>
      <c r="L174" s="65" t="s">
        <v>66</v>
      </c>
      <c r="M174" s="65" t="s">
        <v>67</v>
      </c>
      <c r="N174" s="65" t="s">
        <v>68</v>
      </c>
      <c r="O174" s="65" t="s">
        <v>72</v>
      </c>
      <c r="R174" s="61"/>
      <c r="S174" s="61"/>
      <c r="V174" s="61"/>
      <c r="W174" s="61"/>
      <c r="X174" s="61"/>
      <c r="Y174" s="61"/>
      <c r="Z174" s="61"/>
      <c r="AC174" s="95"/>
      <c r="AD174" s="95"/>
      <c r="AE174" s="95"/>
      <c r="AF174" s="95"/>
      <c r="AG174" s="93"/>
      <c r="AH174" s="95"/>
    </row>
    <row r="175" spans="1:34" s="3" customFormat="1" ht="14.25" customHeight="1" x14ac:dyDescent="0.25">
      <c r="A175" s="53">
        <v>1</v>
      </c>
      <c r="B175" s="53">
        <v>2</v>
      </c>
      <c r="C175" s="53">
        <v>3</v>
      </c>
      <c r="D175" s="53">
        <v>4</v>
      </c>
      <c r="E175" s="53">
        <v>5</v>
      </c>
      <c r="F175" s="53">
        <v>6</v>
      </c>
      <c r="G175" s="53">
        <v>7</v>
      </c>
      <c r="H175" s="66">
        <v>8</v>
      </c>
      <c r="I175" s="66">
        <v>9</v>
      </c>
      <c r="J175" s="66">
        <v>10</v>
      </c>
      <c r="K175" s="66">
        <v>11</v>
      </c>
      <c r="L175" s="66">
        <v>12</v>
      </c>
      <c r="M175" s="66">
        <v>13</v>
      </c>
      <c r="N175" s="66">
        <v>14</v>
      </c>
      <c r="O175" s="66">
        <v>15</v>
      </c>
      <c r="R175" s="61"/>
      <c r="S175" s="61"/>
      <c r="V175" s="61"/>
      <c r="W175" s="61"/>
      <c r="X175" s="61"/>
      <c r="Y175" s="61"/>
      <c r="Z175" s="61"/>
      <c r="AC175" s="95"/>
      <c r="AD175" s="95"/>
      <c r="AE175" s="95"/>
      <c r="AF175" s="95"/>
      <c r="AG175" s="94"/>
      <c r="AH175" s="95"/>
    </row>
    <row r="176" spans="1:34" s="3" customFormat="1" ht="25.5" customHeight="1" x14ac:dyDescent="0.25">
      <c r="A176" s="53" t="s">
        <v>16</v>
      </c>
      <c r="B176" s="54" t="s">
        <v>15</v>
      </c>
      <c r="C176" s="55">
        <f t="shared" ref="C176:N191" si="46">C104+C128+C152</f>
        <v>10045844</v>
      </c>
      <c r="D176" s="55">
        <f t="shared" si="46"/>
        <v>240955</v>
      </c>
      <c r="E176" s="55">
        <f t="shared" si="46"/>
        <v>1326498</v>
      </c>
      <c r="F176" s="55">
        <f t="shared" si="46"/>
        <v>0</v>
      </c>
      <c r="G176" s="55">
        <f>D176+E176+F176</f>
        <v>1567453</v>
      </c>
      <c r="H176" s="63">
        <f t="shared" si="46"/>
        <v>1016019</v>
      </c>
      <c r="I176" s="63">
        <f t="shared" si="46"/>
        <v>5593342</v>
      </c>
      <c r="J176" s="63">
        <f t="shared" si="46"/>
        <v>0</v>
      </c>
      <c r="K176" s="63">
        <f>H176+I176+J176</f>
        <v>6609361</v>
      </c>
      <c r="L176" s="63">
        <f t="shared" si="46"/>
        <v>287315</v>
      </c>
      <c r="M176" s="63">
        <f t="shared" si="46"/>
        <v>1581715</v>
      </c>
      <c r="N176" s="63">
        <f t="shared" si="46"/>
        <v>0</v>
      </c>
      <c r="O176" s="63">
        <f>L176+M176+N176</f>
        <v>1869030</v>
      </c>
      <c r="R176" s="62">
        <f>G176+K176+O176</f>
        <v>10045844</v>
      </c>
      <c r="S176" s="62">
        <f>R176-C176</f>
        <v>0</v>
      </c>
      <c r="V176" s="61"/>
      <c r="W176" s="61"/>
      <c r="X176" s="61"/>
      <c r="Y176" s="61"/>
      <c r="Z176" s="61"/>
      <c r="AC176" s="95"/>
      <c r="AD176" s="95"/>
      <c r="AE176" s="95"/>
      <c r="AF176" s="95"/>
      <c r="AG176" s="94"/>
      <c r="AH176" s="95"/>
    </row>
    <row r="177" spans="1:19" ht="40.5" customHeight="1" x14ac:dyDescent="0.25">
      <c r="A177" s="56" t="s">
        <v>24</v>
      </c>
      <c r="B177" s="54" t="s">
        <v>14</v>
      </c>
      <c r="C177" s="55">
        <f t="shared" si="46"/>
        <v>833478</v>
      </c>
      <c r="D177" s="55">
        <f t="shared" si="46"/>
        <v>89603</v>
      </c>
      <c r="E177" s="55">
        <f t="shared" si="46"/>
        <v>80544</v>
      </c>
      <c r="F177" s="55">
        <f t="shared" si="46"/>
        <v>2565</v>
      </c>
      <c r="G177" s="55">
        <f t="shared" ref="G177:G193" si="47">D177+E177+F177</f>
        <v>172712</v>
      </c>
      <c r="H177" s="63">
        <f t="shared" si="46"/>
        <v>263325</v>
      </c>
      <c r="I177" s="63">
        <f t="shared" si="46"/>
        <v>236706</v>
      </c>
      <c r="J177" s="63">
        <f t="shared" si="46"/>
        <v>7541</v>
      </c>
      <c r="K177" s="63">
        <f t="shared" ref="K177:K193" si="48">H177+I177+J177</f>
        <v>507572</v>
      </c>
      <c r="L177" s="63">
        <f t="shared" si="46"/>
        <v>79476</v>
      </c>
      <c r="M177" s="63">
        <f t="shared" si="46"/>
        <v>71442</v>
      </c>
      <c r="N177" s="63">
        <f t="shared" si="46"/>
        <v>2276</v>
      </c>
      <c r="O177" s="63">
        <f t="shared" ref="O177:O193" si="49">L177+M177+N177</f>
        <v>153194</v>
      </c>
      <c r="R177" s="62">
        <f t="shared" ref="R177:R194" si="50">G177+K177+O177</f>
        <v>833478</v>
      </c>
      <c r="S177" s="62">
        <f t="shared" ref="S177:S194" si="51">R177-C177</f>
        <v>0</v>
      </c>
    </row>
    <row r="178" spans="1:19" ht="34.5" customHeight="1" x14ac:dyDescent="0.25">
      <c r="A178" s="56" t="s">
        <v>23</v>
      </c>
      <c r="B178" s="54" t="s">
        <v>13</v>
      </c>
      <c r="C178" s="55">
        <f t="shared" si="46"/>
        <v>2508894</v>
      </c>
      <c r="D178" s="55">
        <f t="shared" si="46"/>
        <v>0</v>
      </c>
      <c r="E178" s="55">
        <f t="shared" si="46"/>
        <v>142204</v>
      </c>
      <c r="F178" s="55">
        <f t="shared" si="46"/>
        <v>0</v>
      </c>
      <c r="G178" s="55">
        <f t="shared" si="47"/>
        <v>142204</v>
      </c>
      <c r="H178" s="63">
        <f t="shared" si="46"/>
        <v>0</v>
      </c>
      <c r="I178" s="63">
        <f t="shared" si="46"/>
        <v>2107848</v>
      </c>
      <c r="J178" s="63">
        <f t="shared" si="46"/>
        <v>0</v>
      </c>
      <c r="K178" s="63">
        <f t="shared" si="48"/>
        <v>2107848</v>
      </c>
      <c r="L178" s="63">
        <f t="shared" si="46"/>
        <v>0</v>
      </c>
      <c r="M178" s="63">
        <f t="shared" si="46"/>
        <v>258842</v>
      </c>
      <c r="N178" s="63">
        <f t="shared" si="46"/>
        <v>0</v>
      </c>
      <c r="O178" s="63">
        <f t="shared" si="49"/>
        <v>258842</v>
      </c>
      <c r="R178" s="62">
        <f t="shared" si="50"/>
        <v>2508894</v>
      </c>
      <c r="S178" s="62">
        <f t="shared" si="51"/>
        <v>0</v>
      </c>
    </row>
    <row r="179" spans="1:19" ht="40.5" customHeight="1" x14ac:dyDescent="0.25">
      <c r="A179" s="56" t="s">
        <v>22</v>
      </c>
      <c r="B179" s="54" t="s">
        <v>12</v>
      </c>
      <c r="C179" s="55">
        <f t="shared" si="46"/>
        <v>558426</v>
      </c>
      <c r="D179" s="55">
        <f t="shared" si="46"/>
        <v>64235</v>
      </c>
      <c r="E179" s="55">
        <f t="shared" si="46"/>
        <v>0</v>
      </c>
      <c r="F179" s="55">
        <f t="shared" si="46"/>
        <v>0</v>
      </c>
      <c r="G179" s="55">
        <f t="shared" si="47"/>
        <v>64235</v>
      </c>
      <c r="H179" s="63">
        <f t="shared" si="46"/>
        <v>417771</v>
      </c>
      <c r="I179" s="63">
        <f t="shared" si="46"/>
        <v>0</v>
      </c>
      <c r="J179" s="63">
        <f t="shared" si="46"/>
        <v>0</v>
      </c>
      <c r="K179" s="63">
        <f t="shared" si="48"/>
        <v>417771</v>
      </c>
      <c r="L179" s="63">
        <f t="shared" si="46"/>
        <v>76420</v>
      </c>
      <c r="M179" s="63">
        <f t="shared" si="46"/>
        <v>0</v>
      </c>
      <c r="N179" s="63">
        <f t="shared" si="46"/>
        <v>0</v>
      </c>
      <c r="O179" s="63">
        <f t="shared" si="49"/>
        <v>76420</v>
      </c>
      <c r="R179" s="62">
        <f t="shared" si="50"/>
        <v>558426</v>
      </c>
      <c r="S179" s="62">
        <f t="shared" si="51"/>
        <v>0</v>
      </c>
    </row>
    <row r="180" spans="1:19" ht="39.75" customHeight="1" x14ac:dyDescent="0.25">
      <c r="A180" s="56" t="s">
        <v>21</v>
      </c>
      <c r="B180" s="54" t="s">
        <v>11</v>
      </c>
      <c r="C180" s="55">
        <f t="shared" si="46"/>
        <v>371832</v>
      </c>
      <c r="D180" s="55">
        <f t="shared" si="46"/>
        <v>14605</v>
      </c>
      <c r="E180" s="55">
        <f t="shared" si="46"/>
        <v>22987</v>
      </c>
      <c r="F180" s="55">
        <f t="shared" si="46"/>
        <v>9947</v>
      </c>
      <c r="G180" s="55">
        <f t="shared" si="47"/>
        <v>47539</v>
      </c>
      <c r="H180" s="63">
        <f t="shared" si="46"/>
        <v>77478</v>
      </c>
      <c r="I180" s="63">
        <f t="shared" si="46"/>
        <v>121936</v>
      </c>
      <c r="J180" s="63">
        <f t="shared" si="46"/>
        <v>52767</v>
      </c>
      <c r="K180" s="63">
        <f t="shared" si="48"/>
        <v>252181</v>
      </c>
      <c r="L180" s="63">
        <f t="shared" si="46"/>
        <v>22155</v>
      </c>
      <c r="M180" s="63">
        <f t="shared" si="46"/>
        <v>34869</v>
      </c>
      <c r="N180" s="63">
        <f t="shared" si="46"/>
        <v>15088</v>
      </c>
      <c r="O180" s="63">
        <f t="shared" si="49"/>
        <v>72112</v>
      </c>
      <c r="R180" s="62">
        <f t="shared" si="50"/>
        <v>371832</v>
      </c>
      <c r="S180" s="62">
        <f t="shared" si="51"/>
        <v>0</v>
      </c>
    </row>
    <row r="181" spans="1:19" ht="28.5" customHeight="1" x14ac:dyDescent="0.25">
      <c r="A181" s="56" t="s">
        <v>20</v>
      </c>
      <c r="B181" s="54" t="s">
        <v>34</v>
      </c>
      <c r="C181" s="55">
        <f t="shared" si="46"/>
        <v>673341</v>
      </c>
      <c r="D181" s="55">
        <f t="shared" si="46"/>
        <v>126036</v>
      </c>
      <c r="E181" s="55">
        <f t="shared" si="46"/>
        <v>0</v>
      </c>
      <c r="F181" s="55">
        <f t="shared" si="46"/>
        <v>0</v>
      </c>
      <c r="G181" s="55">
        <f t="shared" si="47"/>
        <v>126036</v>
      </c>
      <c r="H181" s="63">
        <f t="shared" si="46"/>
        <v>411391</v>
      </c>
      <c r="I181" s="63">
        <f t="shared" si="46"/>
        <v>0</v>
      </c>
      <c r="J181" s="63">
        <f t="shared" si="46"/>
        <v>0</v>
      </c>
      <c r="K181" s="63">
        <f t="shared" si="48"/>
        <v>411391</v>
      </c>
      <c r="L181" s="63">
        <f t="shared" si="46"/>
        <v>135914</v>
      </c>
      <c r="M181" s="63">
        <f t="shared" si="46"/>
        <v>0</v>
      </c>
      <c r="N181" s="63">
        <f t="shared" si="46"/>
        <v>0</v>
      </c>
      <c r="O181" s="63">
        <f t="shared" si="49"/>
        <v>135914</v>
      </c>
      <c r="R181" s="62">
        <f t="shared" si="50"/>
        <v>673341</v>
      </c>
      <c r="S181" s="62">
        <f t="shared" si="51"/>
        <v>0</v>
      </c>
    </row>
    <row r="182" spans="1:19" ht="34.5" customHeight="1" x14ac:dyDescent="0.25">
      <c r="A182" s="56" t="s">
        <v>19</v>
      </c>
      <c r="B182" s="54" t="s">
        <v>10</v>
      </c>
      <c r="C182" s="55">
        <f t="shared" si="46"/>
        <v>2703049</v>
      </c>
      <c r="D182" s="55">
        <f t="shared" si="46"/>
        <v>58712</v>
      </c>
      <c r="E182" s="55">
        <f t="shared" si="46"/>
        <v>76793</v>
      </c>
      <c r="F182" s="55">
        <f t="shared" si="46"/>
        <v>3620</v>
      </c>
      <c r="G182" s="55">
        <f t="shared" si="47"/>
        <v>139125</v>
      </c>
      <c r="H182" s="63">
        <f t="shared" si="46"/>
        <v>913168</v>
      </c>
      <c r="I182" s="63">
        <f t="shared" si="46"/>
        <v>1194378</v>
      </c>
      <c r="J182" s="63">
        <f t="shared" si="46"/>
        <v>56300</v>
      </c>
      <c r="K182" s="63">
        <f t="shared" si="48"/>
        <v>2163846</v>
      </c>
      <c r="L182" s="63">
        <f t="shared" si="46"/>
        <v>168838</v>
      </c>
      <c r="M182" s="63">
        <f t="shared" si="46"/>
        <v>220831</v>
      </c>
      <c r="N182" s="63">
        <f t="shared" si="46"/>
        <v>10409</v>
      </c>
      <c r="O182" s="63">
        <f t="shared" si="49"/>
        <v>400078</v>
      </c>
      <c r="R182" s="62">
        <f t="shared" si="50"/>
        <v>2703049</v>
      </c>
      <c r="S182" s="62">
        <f t="shared" si="51"/>
        <v>0</v>
      </c>
    </row>
    <row r="183" spans="1:19" ht="25.5" customHeight="1" x14ac:dyDescent="0.25">
      <c r="A183" s="56" t="s">
        <v>18</v>
      </c>
      <c r="B183" s="54" t="s">
        <v>9</v>
      </c>
      <c r="C183" s="55">
        <f t="shared" si="46"/>
        <v>1731644</v>
      </c>
      <c r="D183" s="55">
        <f t="shared" si="46"/>
        <v>135470</v>
      </c>
      <c r="E183" s="55">
        <f t="shared" si="46"/>
        <v>279183</v>
      </c>
      <c r="F183" s="55">
        <f t="shared" si="46"/>
        <v>2431</v>
      </c>
      <c r="G183" s="55">
        <f t="shared" si="47"/>
        <v>417084</v>
      </c>
      <c r="H183" s="63">
        <f t="shared" si="46"/>
        <v>423292</v>
      </c>
      <c r="I183" s="63">
        <f t="shared" si="46"/>
        <v>872346</v>
      </c>
      <c r="J183" s="63">
        <f t="shared" si="46"/>
        <v>7596</v>
      </c>
      <c r="K183" s="63">
        <f t="shared" si="48"/>
        <v>1303234</v>
      </c>
      <c r="L183" s="63">
        <f t="shared" si="46"/>
        <v>3679</v>
      </c>
      <c r="M183" s="63">
        <f t="shared" si="46"/>
        <v>7581</v>
      </c>
      <c r="N183" s="63">
        <f t="shared" si="46"/>
        <v>66</v>
      </c>
      <c r="O183" s="63">
        <f t="shared" si="49"/>
        <v>11326</v>
      </c>
      <c r="R183" s="62">
        <f t="shared" si="50"/>
        <v>1731644</v>
      </c>
      <c r="S183" s="62">
        <f t="shared" si="51"/>
        <v>0</v>
      </c>
    </row>
    <row r="184" spans="1:19" ht="25.5" customHeight="1" x14ac:dyDescent="0.25">
      <c r="A184" s="56" t="s">
        <v>25</v>
      </c>
      <c r="B184" s="54" t="s">
        <v>8</v>
      </c>
      <c r="C184" s="55">
        <f t="shared" si="46"/>
        <v>3308456</v>
      </c>
      <c r="D184" s="55">
        <f t="shared" si="46"/>
        <v>21795</v>
      </c>
      <c r="E184" s="55">
        <f t="shared" si="46"/>
        <v>108890</v>
      </c>
      <c r="F184" s="55">
        <f t="shared" si="46"/>
        <v>0</v>
      </c>
      <c r="G184" s="55">
        <f t="shared" si="47"/>
        <v>130685</v>
      </c>
      <c r="H184" s="63">
        <f t="shared" si="46"/>
        <v>353712</v>
      </c>
      <c r="I184" s="63">
        <f t="shared" si="46"/>
        <v>1767272</v>
      </c>
      <c r="J184" s="63">
        <f t="shared" si="46"/>
        <v>0</v>
      </c>
      <c r="K184" s="63">
        <f t="shared" si="48"/>
        <v>2120984</v>
      </c>
      <c r="L184" s="63">
        <f t="shared" si="46"/>
        <v>176238</v>
      </c>
      <c r="M184" s="63">
        <f t="shared" si="46"/>
        <v>880549</v>
      </c>
      <c r="N184" s="63">
        <f t="shared" si="46"/>
        <v>0</v>
      </c>
      <c r="O184" s="63">
        <f t="shared" si="49"/>
        <v>1056787</v>
      </c>
      <c r="R184" s="62">
        <f t="shared" si="50"/>
        <v>3308456</v>
      </c>
      <c r="S184" s="62">
        <f t="shared" si="51"/>
        <v>0</v>
      </c>
    </row>
    <row r="185" spans="1:19" ht="25.5" customHeight="1" x14ac:dyDescent="0.25">
      <c r="A185" s="56" t="s">
        <v>26</v>
      </c>
      <c r="B185" s="54" t="s">
        <v>7</v>
      </c>
      <c r="C185" s="55">
        <f t="shared" si="46"/>
        <v>1719656</v>
      </c>
      <c r="D185" s="55">
        <f t="shared" si="46"/>
        <v>4022</v>
      </c>
      <c r="E185" s="55">
        <f t="shared" si="46"/>
        <v>27396</v>
      </c>
      <c r="F185" s="55">
        <f t="shared" si="46"/>
        <v>0</v>
      </c>
      <c r="G185" s="55">
        <f t="shared" si="47"/>
        <v>31418</v>
      </c>
      <c r="H185" s="63">
        <f t="shared" si="46"/>
        <v>196518</v>
      </c>
      <c r="I185" s="63">
        <f t="shared" si="46"/>
        <v>1338413</v>
      </c>
      <c r="J185" s="63">
        <f t="shared" si="46"/>
        <v>0</v>
      </c>
      <c r="K185" s="63">
        <f t="shared" si="48"/>
        <v>1534931</v>
      </c>
      <c r="L185" s="63">
        <f t="shared" si="46"/>
        <v>19628</v>
      </c>
      <c r="M185" s="63">
        <f t="shared" si="46"/>
        <v>133679</v>
      </c>
      <c r="N185" s="63">
        <f t="shared" si="46"/>
        <v>0</v>
      </c>
      <c r="O185" s="63">
        <f t="shared" si="49"/>
        <v>153307</v>
      </c>
      <c r="R185" s="62">
        <f t="shared" si="50"/>
        <v>1719656</v>
      </c>
      <c r="S185" s="62">
        <f t="shared" si="51"/>
        <v>0</v>
      </c>
    </row>
    <row r="186" spans="1:19" ht="25.5" customHeight="1" x14ac:dyDescent="0.25">
      <c r="A186" s="56" t="s">
        <v>27</v>
      </c>
      <c r="B186" s="54" t="s">
        <v>6</v>
      </c>
      <c r="C186" s="55">
        <f t="shared" si="46"/>
        <v>1196645</v>
      </c>
      <c r="D186" s="55">
        <f t="shared" si="46"/>
        <v>3898</v>
      </c>
      <c r="E186" s="55">
        <f t="shared" si="46"/>
        <v>4358</v>
      </c>
      <c r="F186" s="55">
        <f t="shared" si="46"/>
        <v>84</v>
      </c>
      <c r="G186" s="55">
        <f t="shared" si="47"/>
        <v>8340</v>
      </c>
      <c r="H186" s="63">
        <f t="shared" si="46"/>
        <v>554623</v>
      </c>
      <c r="I186" s="63">
        <f t="shared" si="46"/>
        <v>619984</v>
      </c>
      <c r="J186" s="63">
        <f t="shared" si="46"/>
        <v>11903</v>
      </c>
      <c r="K186" s="63">
        <f t="shared" si="48"/>
        <v>1186510</v>
      </c>
      <c r="L186" s="63">
        <f t="shared" si="46"/>
        <v>839</v>
      </c>
      <c r="M186" s="63">
        <f t="shared" si="46"/>
        <v>938</v>
      </c>
      <c r="N186" s="63">
        <f t="shared" si="46"/>
        <v>18</v>
      </c>
      <c r="O186" s="63">
        <f t="shared" si="49"/>
        <v>1795</v>
      </c>
      <c r="R186" s="62">
        <f t="shared" si="50"/>
        <v>1196645</v>
      </c>
      <c r="S186" s="62">
        <f t="shared" si="51"/>
        <v>0</v>
      </c>
    </row>
    <row r="187" spans="1:19" ht="25.5" customHeight="1" x14ac:dyDescent="0.25">
      <c r="A187" s="56" t="s">
        <v>28</v>
      </c>
      <c r="B187" s="54" t="s">
        <v>5</v>
      </c>
      <c r="C187" s="55">
        <f t="shared" si="46"/>
        <v>2086373</v>
      </c>
      <c r="D187" s="55">
        <f t="shared" si="46"/>
        <v>111802</v>
      </c>
      <c r="E187" s="55">
        <f t="shared" si="46"/>
        <v>167085</v>
      </c>
      <c r="F187" s="55">
        <f t="shared" si="46"/>
        <v>9764</v>
      </c>
      <c r="G187" s="55">
        <f t="shared" si="47"/>
        <v>288651</v>
      </c>
      <c r="H187" s="63">
        <f t="shared" si="46"/>
        <v>689530</v>
      </c>
      <c r="I187" s="63">
        <f t="shared" si="46"/>
        <v>1030473</v>
      </c>
      <c r="J187" s="63">
        <f t="shared" si="46"/>
        <v>60215</v>
      </c>
      <c r="K187" s="63">
        <f t="shared" si="48"/>
        <v>1780218</v>
      </c>
      <c r="L187" s="63">
        <f t="shared" si="46"/>
        <v>6780</v>
      </c>
      <c r="M187" s="63">
        <f t="shared" si="46"/>
        <v>10132</v>
      </c>
      <c r="N187" s="63">
        <f t="shared" si="46"/>
        <v>592</v>
      </c>
      <c r="O187" s="63">
        <f t="shared" si="49"/>
        <v>17504</v>
      </c>
      <c r="R187" s="62">
        <f t="shared" si="50"/>
        <v>2086373</v>
      </c>
      <c r="S187" s="62">
        <f t="shared" si="51"/>
        <v>0</v>
      </c>
    </row>
    <row r="188" spans="1:19" ht="25.5" customHeight="1" x14ac:dyDescent="0.25">
      <c r="A188" s="56" t="s">
        <v>29</v>
      </c>
      <c r="B188" s="54" t="s">
        <v>4</v>
      </c>
      <c r="C188" s="55">
        <f t="shared" si="46"/>
        <v>1136074</v>
      </c>
      <c r="D188" s="55">
        <f t="shared" si="46"/>
        <v>22031</v>
      </c>
      <c r="E188" s="55">
        <f t="shared" si="46"/>
        <v>37121</v>
      </c>
      <c r="F188" s="55">
        <f t="shared" si="46"/>
        <v>1537</v>
      </c>
      <c r="G188" s="55">
        <f t="shared" si="47"/>
        <v>60689</v>
      </c>
      <c r="H188" s="63">
        <f t="shared" si="46"/>
        <v>377469</v>
      </c>
      <c r="I188" s="63">
        <f t="shared" si="46"/>
        <v>636034</v>
      </c>
      <c r="J188" s="63">
        <f t="shared" si="46"/>
        <v>26356</v>
      </c>
      <c r="K188" s="63">
        <f t="shared" si="48"/>
        <v>1039859</v>
      </c>
      <c r="L188" s="63">
        <f t="shared" si="46"/>
        <v>12896</v>
      </c>
      <c r="M188" s="63">
        <f t="shared" si="46"/>
        <v>21729</v>
      </c>
      <c r="N188" s="63">
        <f t="shared" si="46"/>
        <v>901</v>
      </c>
      <c r="O188" s="63">
        <f t="shared" si="49"/>
        <v>35526</v>
      </c>
      <c r="R188" s="62">
        <f t="shared" si="50"/>
        <v>1136074</v>
      </c>
      <c r="S188" s="62">
        <f t="shared" si="51"/>
        <v>0</v>
      </c>
    </row>
    <row r="189" spans="1:19" ht="25.5" customHeight="1" x14ac:dyDescent="0.25">
      <c r="A189" s="56">
        <v>14</v>
      </c>
      <c r="B189" s="54" t="s">
        <v>3</v>
      </c>
      <c r="C189" s="55">
        <f t="shared" si="46"/>
        <v>2269652</v>
      </c>
      <c r="D189" s="55">
        <f t="shared" si="46"/>
        <v>108786</v>
      </c>
      <c r="E189" s="55">
        <f t="shared" si="46"/>
        <v>53556</v>
      </c>
      <c r="F189" s="55">
        <f t="shared" si="46"/>
        <v>5022</v>
      </c>
      <c r="G189" s="55">
        <f t="shared" si="47"/>
        <v>167364</v>
      </c>
      <c r="H189" s="63">
        <f t="shared" si="46"/>
        <v>1215479</v>
      </c>
      <c r="I189" s="63">
        <f t="shared" si="46"/>
        <v>598389</v>
      </c>
      <c r="J189" s="63">
        <f t="shared" si="46"/>
        <v>56099</v>
      </c>
      <c r="K189" s="63">
        <f t="shared" si="48"/>
        <v>1869967</v>
      </c>
      <c r="L189" s="63">
        <f t="shared" si="46"/>
        <v>151008</v>
      </c>
      <c r="M189" s="63">
        <f t="shared" si="46"/>
        <v>74343</v>
      </c>
      <c r="N189" s="63">
        <f t="shared" si="46"/>
        <v>6970</v>
      </c>
      <c r="O189" s="63">
        <f t="shared" si="49"/>
        <v>232321</v>
      </c>
      <c r="R189" s="62">
        <f t="shared" si="50"/>
        <v>2269652</v>
      </c>
      <c r="S189" s="62">
        <f t="shared" si="51"/>
        <v>0</v>
      </c>
    </row>
    <row r="190" spans="1:19" ht="54" customHeight="1" x14ac:dyDescent="0.25">
      <c r="A190" s="56" t="s">
        <v>30</v>
      </c>
      <c r="B190" s="54" t="s">
        <v>2</v>
      </c>
      <c r="C190" s="55">
        <f t="shared" si="46"/>
        <v>184341</v>
      </c>
      <c r="D190" s="55">
        <f t="shared" si="46"/>
        <v>5221</v>
      </c>
      <c r="E190" s="55">
        <f t="shared" si="46"/>
        <v>0</v>
      </c>
      <c r="F190" s="55">
        <f t="shared" si="46"/>
        <v>0</v>
      </c>
      <c r="G190" s="55">
        <f t="shared" si="47"/>
        <v>5221</v>
      </c>
      <c r="H190" s="63">
        <f t="shared" si="46"/>
        <v>154324</v>
      </c>
      <c r="I190" s="63">
        <f t="shared" si="46"/>
        <v>0</v>
      </c>
      <c r="J190" s="63">
        <f t="shared" si="46"/>
        <v>0</v>
      </c>
      <c r="K190" s="63">
        <f t="shared" si="48"/>
        <v>154324</v>
      </c>
      <c r="L190" s="63">
        <f t="shared" si="46"/>
        <v>24796</v>
      </c>
      <c r="M190" s="63">
        <f t="shared" si="46"/>
        <v>0</v>
      </c>
      <c r="N190" s="63">
        <f t="shared" si="46"/>
        <v>0</v>
      </c>
      <c r="O190" s="63">
        <f t="shared" si="49"/>
        <v>24796</v>
      </c>
      <c r="R190" s="62">
        <f t="shared" si="50"/>
        <v>184341</v>
      </c>
      <c r="S190" s="62">
        <f t="shared" si="51"/>
        <v>0</v>
      </c>
    </row>
    <row r="191" spans="1:19" ht="39.75" customHeight="1" x14ac:dyDescent="0.25">
      <c r="A191" s="56" t="s">
        <v>31</v>
      </c>
      <c r="B191" s="54" t="s">
        <v>1</v>
      </c>
      <c r="C191" s="55">
        <f t="shared" si="46"/>
        <v>118028</v>
      </c>
      <c r="D191" s="55">
        <f t="shared" si="46"/>
        <v>8779</v>
      </c>
      <c r="E191" s="55">
        <f t="shared" si="46"/>
        <v>0</v>
      </c>
      <c r="F191" s="55">
        <f t="shared" si="46"/>
        <v>0</v>
      </c>
      <c r="G191" s="55">
        <f t="shared" si="47"/>
        <v>8779</v>
      </c>
      <c r="H191" s="63">
        <f t="shared" si="46"/>
        <v>104488</v>
      </c>
      <c r="I191" s="63">
        <f t="shared" si="46"/>
        <v>0</v>
      </c>
      <c r="J191" s="63">
        <f t="shared" si="46"/>
        <v>0</v>
      </c>
      <c r="K191" s="63">
        <f t="shared" si="48"/>
        <v>104488</v>
      </c>
      <c r="L191" s="63">
        <f t="shared" si="46"/>
        <v>4761</v>
      </c>
      <c r="M191" s="63">
        <f t="shared" si="46"/>
        <v>0</v>
      </c>
      <c r="N191" s="63">
        <f t="shared" si="46"/>
        <v>0</v>
      </c>
      <c r="O191" s="63">
        <f t="shared" si="49"/>
        <v>4761</v>
      </c>
      <c r="R191" s="62">
        <f t="shared" si="50"/>
        <v>118028</v>
      </c>
      <c r="S191" s="62">
        <f t="shared" si="51"/>
        <v>0</v>
      </c>
    </row>
    <row r="192" spans="1:19" ht="33" customHeight="1" x14ac:dyDescent="0.25">
      <c r="A192" s="56" t="s">
        <v>32</v>
      </c>
      <c r="B192" s="54" t="s">
        <v>73</v>
      </c>
      <c r="C192" s="55">
        <f t="shared" ref="C192:F193" si="52">C120+C144+C168</f>
        <v>103738</v>
      </c>
      <c r="D192" s="55">
        <f t="shared" si="52"/>
        <v>20405</v>
      </c>
      <c r="E192" s="55">
        <f t="shared" si="52"/>
        <v>0</v>
      </c>
      <c r="F192" s="55">
        <f t="shared" si="52"/>
        <v>0</v>
      </c>
      <c r="G192" s="55">
        <f t="shared" si="47"/>
        <v>20405</v>
      </c>
      <c r="H192" s="63">
        <f t="shared" ref="H192:J193" si="53">H120+H144+H168</f>
        <v>66792</v>
      </c>
      <c r="I192" s="63">
        <f t="shared" si="53"/>
        <v>0</v>
      </c>
      <c r="J192" s="63">
        <f t="shared" si="53"/>
        <v>0</v>
      </c>
      <c r="K192" s="63">
        <f t="shared" si="48"/>
        <v>66792</v>
      </c>
      <c r="L192" s="63">
        <f t="shared" ref="L192:N193" si="54">L120+L144+L168</f>
        <v>16541</v>
      </c>
      <c r="M192" s="63">
        <f t="shared" si="54"/>
        <v>0</v>
      </c>
      <c r="N192" s="63">
        <f t="shared" si="54"/>
        <v>0</v>
      </c>
      <c r="O192" s="63">
        <f t="shared" si="49"/>
        <v>16541</v>
      </c>
      <c r="R192" s="62">
        <f t="shared" si="50"/>
        <v>103738</v>
      </c>
      <c r="S192" s="62">
        <f t="shared" si="51"/>
        <v>0</v>
      </c>
    </row>
    <row r="193" spans="1:34" ht="33" customHeight="1" x14ac:dyDescent="0.25">
      <c r="A193" s="56" t="s">
        <v>90</v>
      </c>
      <c r="B193" s="70" t="s">
        <v>91</v>
      </c>
      <c r="C193" s="55">
        <f t="shared" si="52"/>
        <v>184986</v>
      </c>
      <c r="D193" s="55">
        <f t="shared" si="52"/>
        <v>0</v>
      </c>
      <c r="E193" s="55">
        <f t="shared" si="52"/>
        <v>31308</v>
      </c>
      <c r="F193" s="55">
        <f t="shared" si="52"/>
        <v>0</v>
      </c>
      <c r="G193" s="55">
        <f t="shared" si="47"/>
        <v>31308</v>
      </c>
      <c r="H193" s="63">
        <f t="shared" si="53"/>
        <v>0</v>
      </c>
      <c r="I193" s="63">
        <f t="shared" si="53"/>
        <v>102918</v>
      </c>
      <c r="J193" s="63">
        <f t="shared" si="53"/>
        <v>0</v>
      </c>
      <c r="K193" s="63">
        <f t="shared" si="48"/>
        <v>102918</v>
      </c>
      <c r="L193" s="63">
        <f t="shared" si="54"/>
        <v>0</v>
      </c>
      <c r="M193" s="63">
        <f t="shared" si="54"/>
        <v>50760</v>
      </c>
      <c r="N193" s="63">
        <f t="shared" si="54"/>
        <v>0</v>
      </c>
      <c r="O193" s="63">
        <f t="shared" si="49"/>
        <v>50760</v>
      </c>
      <c r="R193" s="62">
        <f t="shared" si="50"/>
        <v>184986</v>
      </c>
      <c r="S193" s="62">
        <f>R193-C193</f>
        <v>0</v>
      </c>
    </row>
    <row r="194" spans="1:34" ht="25.5" customHeight="1" x14ac:dyDescent="0.25">
      <c r="A194" s="57"/>
      <c r="B194" s="57" t="s">
        <v>0</v>
      </c>
      <c r="C194" s="58">
        <f>SUM(C176:C193)</f>
        <v>31734457</v>
      </c>
      <c r="D194" s="58">
        <f t="shared" ref="D194:O194" si="55">SUM(D176:D193)</f>
        <v>1036355</v>
      </c>
      <c r="E194" s="58">
        <f t="shared" si="55"/>
        <v>2357923</v>
      </c>
      <c r="F194" s="58">
        <f t="shared" si="55"/>
        <v>34970</v>
      </c>
      <c r="G194" s="58">
        <f t="shared" si="55"/>
        <v>3429248</v>
      </c>
      <c r="H194" s="58">
        <f t="shared" si="55"/>
        <v>7235379</v>
      </c>
      <c r="I194" s="58">
        <f t="shared" si="55"/>
        <v>16220039</v>
      </c>
      <c r="J194" s="58">
        <f t="shared" si="55"/>
        <v>278777</v>
      </c>
      <c r="K194" s="58">
        <f t="shared" si="55"/>
        <v>23734195</v>
      </c>
      <c r="L194" s="58">
        <f t="shared" si="55"/>
        <v>1187284</v>
      </c>
      <c r="M194" s="58">
        <f t="shared" si="55"/>
        <v>3347410</v>
      </c>
      <c r="N194" s="58">
        <f t="shared" si="55"/>
        <v>36320</v>
      </c>
      <c r="O194" s="58">
        <f t="shared" si="55"/>
        <v>4571014</v>
      </c>
      <c r="R194" s="62">
        <f t="shared" si="50"/>
        <v>31734457</v>
      </c>
      <c r="S194" s="62">
        <f t="shared" si="51"/>
        <v>0</v>
      </c>
    </row>
    <row r="196" spans="1:34" s="4" customFormat="1" ht="28.5" customHeight="1" x14ac:dyDescent="0.25">
      <c r="A196" s="152" t="s">
        <v>17</v>
      </c>
      <c r="B196" s="152" t="s">
        <v>33</v>
      </c>
      <c r="C196" s="152" t="s">
        <v>81</v>
      </c>
      <c r="D196" s="152" t="s">
        <v>69</v>
      </c>
      <c r="E196" s="152"/>
      <c r="F196" s="152"/>
      <c r="G196" s="152"/>
      <c r="H196" s="152"/>
      <c r="I196" s="152"/>
      <c r="J196" s="152"/>
      <c r="K196" s="152"/>
      <c r="L196" s="152"/>
      <c r="M196" s="152"/>
      <c r="N196" s="152"/>
      <c r="O196" s="152"/>
      <c r="R196" s="61"/>
      <c r="S196" s="61"/>
      <c r="V196" s="61"/>
      <c r="W196" s="61"/>
      <c r="X196" s="61"/>
      <c r="Y196" s="61"/>
      <c r="Z196" s="61"/>
      <c r="AC196" s="95"/>
      <c r="AD196" s="95"/>
      <c r="AE196" s="95"/>
      <c r="AF196" s="95"/>
      <c r="AG196" s="93"/>
      <c r="AH196" s="95"/>
    </row>
    <row r="197" spans="1:34" s="4" customFormat="1" ht="41.25" customHeight="1" x14ac:dyDescent="0.25">
      <c r="A197" s="152"/>
      <c r="B197" s="152"/>
      <c r="C197" s="152"/>
      <c r="D197" s="154" t="s">
        <v>36</v>
      </c>
      <c r="E197" s="154"/>
      <c r="F197" s="154"/>
      <c r="G197" s="154"/>
      <c r="H197" s="155" t="s">
        <v>37</v>
      </c>
      <c r="I197" s="156"/>
      <c r="J197" s="156"/>
      <c r="K197" s="157"/>
      <c r="L197" s="155" t="s">
        <v>38</v>
      </c>
      <c r="M197" s="156"/>
      <c r="N197" s="156"/>
      <c r="O197" s="157"/>
      <c r="R197" s="61"/>
      <c r="S197" s="61"/>
      <c r="V197" s="61"/>
      <c r="W197" s="61"/>
      <c r="X197" s="61"/>
      <c r="Y197" s="61"/>
      <c r="Z197" s="61"/>
      <c r="AC197" s="95"/>
      <c r="AD197" s="95"/>
      <c r="AE197" s="95"/>
      <c r="AF197" s="95"/>
      <c r="AG197" s="93"/>
      <c r="AH197" s="95"/>
    </row>
    <row r="198" spans="1:34" s="4" customFormat="1" ht="59.25" customHeight="1" x14ac:dyDescent="0.25">
      <c r="A198" s="152"/>
      <c r="B198" s="152"/>
      <c r="C198" s="152"/>
      <c r="D198" s="83" t="s">
        <v>66</v>
      </c>
      <c r="E198" s="83" t="s">
        <v>67</v>
      </c>
      <c r="F198" s="83" t="s">
        <v>68</v>
      </c>
      <c r="G198" s="83" t="s">
        <v>70</v>
      </c>
      <c r="H198" s="65" t="s">
        <v>66</v>
      </c>
      <c r="I198" s="65" t="s">
        <v>67</v>
      </c>
      <c r="J198" s="65" t="s">
        <v>68</v>
      </c>
      <c r="K198" s="65" t="s">
        <v>71</v>
      </c>
      <c r="L198" s="65" t="s">
        <v>66</v>
      </c>
      <c r="M198" s="65" t="s">
        <v>67</v>
      </c>
      <c r="N198" s="65" t="s">
        <v>68</v>
      </c>
      <c r="O198" s="65" t="s">
        <v>72</v>
      </c>
      <c r="R198" s="61"/>
      <c r="S198" s="61"/>
      <c r="V198" s="61" t="s">
        <v>44</v>
      </c>
      <c r="W198" s="61" t="s">
        <v>96</v>
      </c>
      <c r="X198" s="61" t="s">
        <v>97</v>
      </c>
      <c r="Y198" s="61"/>
      <c r="Z198" s="61"/>
      <c r="AC198" s="95"/>
      <c r="AD198" s="95"/>
      <c r="AE198" s="95"/>
      <c r="AF198" s="95"/>
      <c r="AG198" s="93"/>
      <c r="AH198" s="95"/>
    </row>
    <row r="199" spans="1:34" s="3" customFormat="1" ht="14.25" customHeight="1" x14ac:dyDescent="0.25">
      <c r="A199" s="53">
        <v>1</v>
      </c>
      <c r="B199" s="53">
        <v>2</v>
      </c>
      <c r="C199" s="53">
        <v>3</v>
      </c>
      <c r="D199" s="53">
        <v>4</v>
      </c>
      <c r="E199" s="53">
        <v>5</v>
      </c>
      <c r="F199" s="53">
        <v>6</v>
      </c>
      <c r="G199" s="53">
        <v>7</v>
      </c>
      <c r="H199" s="66">
        <v>8</v>
      </c>
      <c r="I199" s="66">
        <v>9</v>
      </c>
      <c r="J199" s="66">
        <v>10</v>
      </c>
      <c r="K199" s="66">
        <v>11</v>
      </c>
      <c r="L199" s="66">
        <v>12</v>
      </c>
      <c r="M199" s="66">
        <v>13</v>
      </c>
      <c r="N199" s="66">
        <v>14</v>
      </c>
      <c r="O199" s="66">
        <v>15</v>
      </c>
      <c r="R199" s="61"/>
      <c r="S199" s="61"/>
      <c r="V199" s="61"/>
      <c r="W199" s="61"/>
      <c r="X199" s="61"/>
      <c r="Y199" s="61"/>
      <c r="Z199" s="61"/>
      <c r="AC199" s="95"/>
      <c r="AD199" s="95"/>
      <c r="AE199" s="95"/>
      <c r="AF199" s="95"/>
      <c r="AG199" s="94"/>
      <c r="AH199" s="95"/>
    </row>
    <row r="200" spans="1:34" s="3" customFormat="1" ht="25.5" customHeight="1" x14ac:dyDescent="0.25">
      <c r="A200" s="53" t="s">
        <v>16</v>
      </c>
      <c r="B200" s="54" t="s">
        <v>15</v>
      </c>
      <c r="C200" s="55">
        <f>4478889+600458</f>
        <v>5079347</v>
      </c>
      <c r="D200" s="55">
        <f>70373+9424</f>
        <v>79797</v>
      </c>
      <c r="E200" s="55">
        <f>628468+84265</f>
        <v>712733</v>
      </c>
      <c r="F200" s="55">
        <v>0</v>
      </c>
      <c r="G200" s="55">
        <f>D200+E200+F200</f>
        <v>792530</v>
      </c>
      <c r="H200" s="63">
        <f>296738+39738</f>
        <v>336476</v>
      </c>
      <c r="I200" s="63">
        <f>2650013+355315</f>
        <v>3005328</v>
      </c>
      <c r="J200" s="63">
        <v>0</v>
      </c>
      <c r="K200" s="63">
        <f>H200+I200+J200</f>
        <v>3341804</v>
      </c>
      <c r="L200" s="63">
        <f>83913+11238</f>
        <v>95151</v>
      </c>
      <c r="M200" s="63">
        <f>749384+100478</f>
        <v>849862</v>
      </c>
      <c r="N200" s="63">
        <v>0</v>
      </c>
      <c r="O200" s="63">
        <f>L200+M200+N200</f>
        <v>945013</v>
      </c>
      <c r="R200" s="62">
        <f>G200+K200+O200</f>
        <v>5079347</v>
      </c>
      <c r="S200" s="62">
        <f>R200-C200</f>
        <v>0</v>
      </c>
      <c r="V200" s="62">
        <f>D200+H200+L200</f>
        <v>511424</v>
      </c>
      <c r="W200" s="62">
        <f t="shared" ref="W200:X215" si="56">E200+I200+M200</f>
        <v>4567923</v>
      </c>
      <c r="X200" s="62">
        <f t="shared" si="56"/>
        <v>0</v>
      </c>
      <c r="Y200" s="62">
        <f>V200+W200+X200</f>
        <v>5079347</v>
      </c>
      <c r="Z200" s="62">
        <f>Y200-C200</f>
        <v>0</v>
      </c>
      <c r="AC200" s="98"/>
      <c r="AD200" s="98"/>
      <c r="AE200" s="98"/>
      <c r="AF200" s="98"/>
      <c r="AG200" s="94"/>
      <c r="AH200" s="98"/>
    </row>
    <row r="201" spans="1:34" ht="40.5" customHeight="1" x14ac:dyDescent="0.25">
      <c r="A201" s="56" t="s">
        <v>24</v>
      </c>
      <c r="B201" s="54" t="s">
        <v>14</v>
      </c>
      <c r="C201" s="55">
        <v>272064</v>
      </c>
      <c r="D201" s="55">
        <v>28690</v>
      </c>
      <c r="E201" s="55">
        <v>26830</v>
      </c>
      <c r="F201" s="55">
        <v>857</v>
      </c>
      <c r="G201" s="55">
        <f t="shared" ref="G201:G217" si="57">D201+E201+F201</f>
        <v>56377</v>
      </c>
      <c r="H201" s="63">
        <v>84315</v>
      </c>
      <c r="I201" s="63">
        <v>78848</v>
      </c>
      <c r="J201" s="63">
        <v>2518</v>
      </c>
      <c r="K201" s="63">
        <f t="shared" ref="K201:K217" si="58">H201+I201+J201</f>
        <v>165681</v>
      </c>
      <c r="L201" s="63">
        <v>25448</v>
      </c>
      <c r="M201" s="63">
        <v>23798</v>
      </c>
      <c r="N201" s="63">
        <v>760</v>
      </c>
      <c r="O201" s="63">
        <f t="shared" ref="O201:O217" si="59">L201+M201+N201</f>
        <v>50006</v>
      </c>
      <c r="R201" s="62">
        <f t="shared" ref="R201:R217" si="60">G201+K201+O201</f>
        <v>272064</v>
      </c>
      <c r="S201" s="62">
        <f t="shared" ref="S201:S218" si="61">R201-C201</f>
        <v>0</v>
      </c>
      <c r="V201" s="62">
        <f t="shared" ref="V201:X218" si="62">D201+H201+L201</f>
        <v>138453</v>
      </c>
      <c r="W201" s="62">
        <f t="shared" si="56"/>
        <v>129476</v>
      </c>
      <c r="X201" s="62">
        <f t="shared" si="56"/>
        <v>4135</v>
      </c>
      <c r="Y201" s="62">
        <f t="shared" ref="Y201:Y218" si="63">V201+W201+X201</f>
        <v>272064</v>
      </c>
      <c r="Z201" s="62">
        <f t="shared" ref="Z201:Z218" si="64">Y201-C201</f>
        <v>0</v>
      </c>
      <c r="AF201" s="98"/>
      <c r="AH201" s="98"/>
    </row>
    <row r="202" spans="1:34" ht="34.5" customHeight="1" x14ac:dyDescent="0.25">
      <c r="A202" s="56" t="s">
        <v>24</v>
      </c>
      <c r="B202" s="54" t="s">
        <v>13</v>
      </c>
      <c r="C202" s="55">
        <f>852858+29661</f>
        <v>882519</v>
      </c>
      <c r="D202" s="55">
        <v>0</v>
      </c>
      <c r="E202" s="55">
        <f>48340+1681</f>
        <v>50021</v>
      </c>
      <c r="F202" s="55">
        <v>0</v>
      </c>
      <c r="G202" s="55">
        <f t="shared" si="57"/>
        <v>50021</v>
      </c>
      <c r="H202" s="63">
        <v>0</v>
      </c>
      <c r="I202" s="63">
        <f>716529+24920</f>
        <v>741449</v>
      </c>
      <c r="J202" s="63">
        <v>0</v>
      </c>
      <c r="K202" s="63">
        <f t="shared" si="58"/>
        <v>741449</v>
      </c>
      <c r="L202" s="63">
        <v>0</v>
      </c>
      <c r="M202" s="63">
        <f>87989+3060</f>
        <v>91049</v>
      </c>
      <c r="N202" s="63">
        <v>0</v>
      </c>
      <c r="O202" s="63">
        <f t="shared" si="59"/>
        <v>91049</v>
      </c>
      <c r="R202" s="62">
        <f t="shared" si="60"/>
        <v>882519</v>
      </c>
      <c r="S202" s="62">
        <f t="shared" si="61"/>
        <v>0</v>
      </c>
      <c r="V202" s="62">
        <f t="shared" si="62"/>
        <v>0</v>
      </c>
      <c r="W202" s="62">
        <f t="shared" si="56"/>
        <v>882519</v>
      </c>
      <c r="X202" s="62">
        <f t="shared" si="56"/>
        <v>0</v>
      </c>
      <c r="Y202" s="62">
        <f t="shared" si="63"/>
        <v>882519</v>
      </c>
      <c r="Z202" s="62">
        <f t="shared" si="64"/>
        <v>0</v>
      </c>
      <c r="AC202" s="99"/>
      <c r="AD202" s="99"/>
      <c r="AE202" s="99"/>
      <c r="AF202" s="98"/>
      <c r="AH202" s="98"/>
    </row>
    <row r="203" spans="1:34" ht="40.5" customHeight="1" x14ac:dyDescent="0.25">
      <c r="A203" s="56" t="s">
        <v>22</v>
      </c>
      <c r="B203" s="54" t="s">
        <v>12</v>
      </c>
      <c r="C203" s="55">
        <v>229433</v>
      </c>
      <c r="D203" s="55">
        <v>26392</v>
      </c>
      <c r="E203" s="55">
        <v>0</v>
      </c>
      <c r="F203" s="55">
        <v>0</v>
      </c>
      <c r="G203" s="55">
        <f t="shared" si="57"/>
        <v>26392</v>
      </c>
      <c r="H203" s="63">
        <v>171643</v>
      </c>
      <c r="I203" s="63">
        <v>0</v>
      </c>
      <c r="J203" s="63">
        <v>0</v>
      </c>
      <c r="K203" s="63">
        <f t="shared" si="58"/>
        <v>171643</v>
      </c>
      <c r="L203" s="63">
        <v>31398</v>
      </c>
      <c r="M203" s="63">
        <v>0</v>
      </c>
      <c r="N203" s="63">
        <v>0</v>
      </c>
      <c r="O203" s="63">
        <f t="shared" si="59"/>
        <v>31398</v>
      </c>
      <c r="R203" s="62">
        <f t="shared" si="60"/>
        <v>229433</v>
      </c>
      <c r="S203" s="62">
        <f t="shared" si="61"/>
        <v>0</v>
      </c>
      <c r="V203" s="62">
        <f t="shared" si="62"/>
        <v>229433</v>
      </c>
      <c r="W203" s="62">
        <f t="shared" si="56"/>
        <v>0</v>
      </c>
      <c r="X203" s="62">
        <f t="shared" si="56"/>
        <v>0</v>
      </c>
      <c r="Y203" s="62">
        <f t="shared" si="63"/>
        <v>229433</v>
      </c>
      <c r="Z203" s="62">
        <f t="shared" si="64"/>
        <v>0</v>
      </c>
      <c r="AF203" s="98"/>
      <c r="AH203" s="98"/>
    </row>
    <row r="204" spans="1:34" ht="39.75" customHeight="1" x14ac:dyDescent="0.25">
      <c r="A204" s="56" t="s">
        <v>23</v>
      </c>
      <c r="B204" s="54" t="s">
        <v>11</v>
      </c>
      <c r="C204" s="55">
        <f>119722+31609</f>
        <v>151331</v>
      </c>
      <c r="D204" s="55">
        <f>4720+1247</f>
        <v>5967</v>
      </c>
      <c r="E204" s="55">
        <f>7427+1960</f>
        <v>9387</v>
      </c>
      <c r="F204" s="55">
        <f>3159+834</f>
        <v>3993</v>
      </c>
      <c r="G204" s="55">
        <f t="shared" si="57"/>
        <v>19347</v>
      </c>
      <c r="H204" s="63">
        <f>25041+6614</f>
        <v>31655</v>
      </c>
      <c r="I204" s="63">
        <f>39397+10399</f>
        <v>49796</v>
      </c>
      <c r="J204" s="63">
        <f>16759+4425</f>
        <v>21184</v>
      </c>
      <c r="K204" s="63">
        <f t="shared" si="58"/>
        <v>102635</v>
      </c>
      <c r="L204" s="63">
        <f>7161+1891</f>
        <v>9052</v>
      </c>
      <c r="M204" s="63">
        <f>11266+2974</f>
        <v>14240</v>
      </c>
      <c r="N204" s="63">
        <f>4792+1265</f>
        <v>6057</v>
      </c>
      <c r="O204" s="63">
        <f t="shared" si="59"/>
        <v>29349</v>
      </c>
      <c r="R204" s="62">
        <f t="shared" si="60"/>
        <v>151331</v>
      </c>
      <c r="S204" s="62">
        <f t="shared" si="61"/>
        <v>0</v>
      </c>
      <c r="V204" s="62">
        <f t="shared" si="62"/>
        <v>46674</v>
      </c>
      <c r="W204" s="62">
        <f t="shared" si="56"/>
        <v>73423</v>
      </c>
      <c r="X204" s="62">
        <f t="shared" si="56"/>
        <v>31234</v>
      </c>
      <c r="Y204" s="62">
        <f t="shared" si="63"/>
        <v>151331</v>
      </c>
      <c r="Z204" s="62">
        <f t="shared" si="64"/>
        <v>0</v>
      </c>
      <c r="AC204" s="99"/>
      <c r="AD204" s="99"/>
      <c r="AE204" s="99"/>
      <c r="AF204" s="98"/>
      <c r="AH204" s="98"/>
    </row>
    <row r="205" spans="1:34" ht="28.5" customHeight="1" x14ac:dyDescent="0.25">
      <c r="A205" s="56" t="s">
        <v>20</v>
      </c>
      <c r="B205" s="54" t="s">
        <v>34</v>
      </c>
      <c r="C205" s="55">
        <v>190156</v>
      </c>
      <c r="D205" s="55">
        <v>35593</v>
      </c>
      <c r="E205" s="55">
        <v>0</v>
      </c>
      <c r="F205" s="55">
        <v>0</v>
      </c>
      <c r="G205" s="55">
        <f t="shared" si="57"/>
        <v>35593</v>
      </c>
      <c r="H205" s="63">
        <v>116180</v>
      </c>
      <c r="I205" s="63">
        <v>0</v>
      </c>
      <c r="J205" s="63">
        <v>0</v>
      </c>
      <c r="K205" s="63">
        <f t="shared" si="58"/>
        <v>116180</v>
      </c>
      <c r="L205" s="63">
        <v>38383</v>
      </c>
      <c r="M205" s="63">
        <v>0</v>
      </c>
      <c r="N205" s="63">
        <v>0</v>
      </c>
      <c r="O205" s="63">
        <f t="shared" si="59"/>
        <v>38383</v>
      </c>
      <c r="R205" s="62">
        <f t="shared" si="60"/>
        <v>190156</v>
      </c>
      <c r="S205" s="62">
        <f t="shared" si="61"/>
        <v>0</v>
      </c>
      <c r="V205" s="62">
        <f t="shared" si="62"/>
        <v>190156</v>
      </c>
      <c r="W205" s="62">
        <f t="shared" si="56"/>
        <v>0</v>
      </c>
      <c r="X205" s="62">
        <f t="shared" si="56"/>
        <v>0</v>
      </c>
      <c r="Y205" s="62">
        <f t="shared" si="63"/>
        <v>190156</v>
      </c>
      <c r="Z205" s="62">
        <f t="shared" si="64"/>
        <v>0</v>
      </c>
      <c r="AF205" s="98"/>
      <c r="AH205" s="98"/>
    </row>
    <row r="206" spans="1:34" ht="34.5" customHeight="1" x14ac:dyDescent="0.25">
      <c r="A206" s="56" t="s">
        <v>22</v>
      </c>
      <c r="B206" s="54" t="s">
        <v>10</v>
      </c>
      <c r="C206" s="55">
        <f>924291+6368</f>
        <v>930659</v>
      </c>
      <c r="D206" s="55">
        <f>20071+138</f>
        <v>20209</v>
      </c>
      <c r="E206" s="55">
        <f>26251+181</f>
        <v>26432</v>
      </c>
      <c r="F206" s="55">
        <f>1251+9</f>
        <v>1260</v>
      </c>
      <c r="G206" s="55">
        <f t="shared" si="57"/>
        <v>47901</v>
      </c>
      <c r="H206" s="63">
        <f>312170+2150</f>
        <v>314320</v>
      </c>
      <c r="I206" s="63">
        <f>408284+2813</f>
        <v>411097</v>
      </c>
      <c r="J206" s="63">
        <f>19460+134</f>
        <v>19594</v>
      </c>
      <c r="K206" s="63">
        <f t="shared" si="58"/>
        <v>745011</v>
      </c>
      <c r="L206" s="63">
        <f>57718+398</f>
        <v>58116</v>
      </c>
      <c r="M206" s="63">
        <f>75489+520</f>
        <v>76009</v>
      </c>
      <c r="N206" s="63">
        <f>3597+25</f>
        <v>3622</v>
      </c>
      <c r="O206" s="63">
        <f t="shared" si="59"/>
        <v>137747</v>
      </c>
      <c r="R206" s="62">
        <f>G206+K206+O206</f>
        <v>930659</v>
      </c>
      <c r="S206" s="62">
        <f t="shared" si="61"/>
        <v>0</v>
      </c>
      <c r="V206" s="62">
        <f t="shared" si="62"/>
        <v>392645</v>
      </c>
      <c r="W206" s="62">
        <f t="shared" si="56"/>
        <v>513538</v>
      </c>
      <c r="X206" s="62">
        <f t="shared" si="56"/>
        <v>24476</v>
      </c>
      <c r="Y206" s="62">
        <f t="shared" si="63"/>
        <v>930659</v>
      </c>
      <c r="Z206" s="62">
        <f t="shared" si="64"/>
        <v>0</v>
      </c>
      <c r="AC206" s="99"/>
      <c r="AD206" s="99"/>
      <c r="AE206" s="99"/>
      <c r="AF206" s="98"/>
      <c r="AH206" s="98"/>
    </row>
    <row r="207" spans="1:34" ht="25.5" customHeight="1" x14ac:dyDescent="0.25">
      <c r="A207" s="56" t="s">
        <v>21</v>
      </c>
      <c r="B207" s="54" t="s">
        <v>9</v>
      </c>
      <c r="C207" s="55">
        <f>494636+235839</f>
        <v>730475</v>
      </c>
      <c r="D207" s="55">
        <f>30047+14880</f>
        <v>44927</v>
      </c>
      <c r="E207" s="55">
        <f>89091+41925</f>
        <v>131016</v>
      </c>
      <c r="F207" s="55">
        <v>0</v>
      </c>
      <c r="G207" s="55">
        <f t="shared" si="57"/>
        <v>175943</v>
      </c>
      <c r="H207" s="63">
        <f>93885+46493</f>
        <v>140378</v>
      </c>
      <c r="I207" s="63">
        <f>278378+130999</f>
        <v>409377</v>
      </c>
      <c r="J207" s="63">
        <v>0</v>
      </c>
      <c r="K207" s="63">
        <f t="shared" si="58"/>
        <v>549755</v>
      </c>
      <c r="L207" s="63">
        <f>816+404</f>
        <v>1220</v>
      </c>
      <c r="M207" s="63">
        <f>2419+1138</f>
        <v>3557</v>
      </c>
      <c r="N207" s="63">
        <v>0</v>
      </c>
      <c r="O207" s="63">
        <f t="shared" si="59"/>
        <v>4777</v>
      </c>
      <c r="R207" s="62">
        <f t="shared" si="60"/>
        <v>730475</v>
      </c>
      <c r="S207" s="62">
        <f t="shared" si="61"/>
        <v>0</v>
      </c>
      <c r="V207" s="62">
        <f t="shared" si="62"/>
        <v>186525</v>
      </c>
      <c r="W207" s="62">
        <f t="shared" si="56"/>
        <v>543950</v>
      </c>
      <c r="X207" s="62">
        <f t="shared" si="56"/>
        <v>0</v>
      </c>
      <c r="Y207" s="62">
        <f t="shared" si="63"/>
        <v>730475</v>
      </c>
      <c r="Z207" s="62">
        <f t="shared" si="64"/>
        <v>0</v>
      </c>
      <c r="AC207" s="99"/>
      <c r="AD207" s="99"/>
      <c r="AE207" s="99"/>
      <c r="AF207" s="98"/>
      <c r="AH207" s="98"/>
    </row>
    <row r="208" spans="1:34" ht="25.5" customHeight="1" x14ac:dyDescent="0.25">
      <c r="A208" s="56" t="s">
        <v>20</v>
      </c>
      <c r="B208" s="54" t="s">
        <v>8</v>
      </c>
      <c r="C208" s="55">
        <v>945273</v>
      </c>
      <c r="D208" s="55">
        <v>5698</v>
      </c>
      <c r="E208" s="55">
        <v>31640</v>
      </c>
      <c r="F208" s="55">
        <v>0</v>
      </c>
      <c r="G208" s="55">
        <f t="shared" si="57"/>
        <v>37338</v>
      </c>
      <c r="H208" s="63">
        <v>92475</v>
      </c>
      <c r="I208" s="63">
        <v>513521</v>
      </c>
      <c r="J208" s="63">
        <v>0</v>
      </c>
      <c r="K208" s="63">
        <f t="shared" si="58"/>
        <v>605996</v>
      </c>
      <c r="L208" s="63">
        <v>46076</v>
      </c>
      <c r="M208" s="63">
        <v>255863</v>
      </c>
      <c r="N208" s="63">
        <v>0</v>
      </c>
      <c r="O208" s="63">
        <f t="shared" si="59"/>
        <v>301939</v>
      </c>
      <c r="R208" s="62">
        <f t="shared" si="60"/>
        <v>945273</v>
      </c>
      <c r="S208" s="62">
        <f t="shared" si="61"/>
        <v>0</v>
      </c>
      <c r="V208" s="62">
        <f t="shared" si="62"/>
        <v>144249</v>
      </c>
      <c r="W208" s="62">
        <f t="shared" si="56"/>
        <v>801024</v>
      </c>
      <c r="X208" s="62">
        <f t="shared" si="56"/>
        <v>0</v>
      </c>
      <c r="Y208" s="62">
        <f t="shared" si="63"/>
        <v>945273</v>
      </c>
      <c r="Z208" s="62">
        <f t="shared" si="64"/>
        <v>0</v>
      </c>
      <c r="AF208" s="98"/>
      <c r="AH208" s="98"/>
    </row>
    <row r="209" spans="1:34" ht="25.5" customHeight="1" x14ac:dyDescent="0.25">
      <c r="A209" s="56" t="s">
        <v>26</v>
      </c>
      <c r="B209" s="54" t="s">
        <v>7</v>
      </c>
      <c r="C209" s="55">
        <v>463878</v>
      </c>
      <c r="D209" s="55">
        <v>1152</v>
      </c>
      <c r="E209" s="55">
        <v>7323</v>
      </c>
      <c r="F209" s="55">
        <v>0</v>
      </c>
      <c r="G209" s="55">
        <f t="shared" si="57"/>
        <v>8475</v>
      </c>
      <c r="H209" s="63">
        <v>56269</v>
      </c>
      <c r="I209" s="63">
        <v>357779</v>
      </c>
      <c r="J209" s="63">
        <v>0</v>
      </c>
      <c r="K209" s="63">
        <f t="shared" si="58"/>
        <v>414048</v>
      </c>
      <c r="L209" s="63">
        <v>5620</v>
      </c>
      <c r="M209" s="63">
        <v>35735</v>
      </c>
      <c r="N209" s="63">
        <v>0</v>
      </c>
      <c r="O209" s="63">
        <f t="shared" si="59"/>
        <v>41355</v>
      </c>
      <c r="R209" s="62">
        <f t="shared" si="60"/>
        <v>463878</v>
      </c>
      <c r="S209" s="62">
        <f t="shared" si="61"/>
        <v>0</v>
      </c>
      <c r="V209" s="62">
        <f t="shared" si="62"/>
        <v>63041</v>
      </c>
      <c r="W209" s="62">
        <f t="shared" si="56"/>
        <v>400837</v>
      </c>
      <c r="X209" s="62">
        <f t="shared" si="56"/>
        <v>0</v>
      </c>
      <c r="Y209" s="62">
        <f t="shared" si="63"/>
        <v>463878</v>
      </c>
      <c r="Z209" s="62">
        <f t="shared" si="64"/>
        <v>0</v>
      </c>
      <c r="AF209" s="98"/>
      <c r="AH209" s="98"/>
    </row>
    <row r="210" spans="1:34" ht="25.5" customHeight="1" x14ac:dyDescent="0.25">
      <c r="A210" s="56" t="s">
        <v>20</v>
      </c>
      <c r="B210" s="54" t="s">
        <v>6</v>
      </c>
      <c r="C210" s="55">
        <f>'Расх по МО с 01.07.13'!C210</f>
        <v>960424</v>
      </c>
      <c r="D210" s="55">
        <f>'Расх по МО с 01.07.13'!D210</f>
        <v>3541</v>
      </c>
      <c r="E210" s="55">
        <f>'Расх по МО с 01.07.13'!E210</f>
        <v>3085</v>
      </c>
      <c r="F210" s="55">
        <f>'Расх по МО с 01.07.13'!F210</f>
        <v>69</v>
      </c>
      <c r="G210" s="55">
        <f>'Расх по МО с 01.07.13'!G210</f>
        <v>6695</v>
      </c>
      <c r="H210" s="55">
        <f>'Расх по МО с 01.07.13'!H210</f>
        <v>503848</v>
      </c>
      <c r="I210" s="55">
        <f>'Расх по МО с 01.07.13'!I210</f>
        <v>438740</v>
      </c>
      <c r="J210" s="55">
        <f>'Расх по МО с 01.07.13'!J210</f>
        <v>9701</v>
      </c>
      <c r="K210" s="55">
        <f>'Расх по МО с 01.07.13'!K210</f>
        <v>952289</v>
      </c>
      <c r="L210" s="55">
        <f>'Расх по МО с 01.07.13'!L210</f>
        <v>762</v>
      </c>
      <c r="M210" s="55">
        <f>'Расх по МО с 01.07.13'!M210</f>
        <v>664</v>
      </c>
      <c r="N210" s="55">
        <f>'Расх по МО с 01.07.13'!N210</f>
        <v>14</v>
      </c>
      <c r="O210" s="55">
        <f>'Расх по МО с 01.07.13'!O210</f>
        <v>1440</v>
      </c>
      <c r="R210" s="62">
        <f t="shared" si="60"/>
        <v>960424</v>
      </c>
      <c r="S210" s="62">
        <f t="shared" si="61"/>
        <v>0</v>
      </c>
      <c r="V210" s="62">
        <f t="shared" si="62"/>
        <v>508151</v>
      </c>
      <c r="W210" s="62">
        <f t="shared" si="56"/>
        <v>442489</v>
      </c>
      <c r="X210" s="62">
        <f t="shared" si="56"/>
        <v>9784</v>
      </c>
      <c r="Y210" s="62">
        <f t="shared" si="63"/>
        <v>960424</v>
      </c>
      <c r="Z210" s="62">
        <f t="shared" si="64"/>
        <v>0</v>
      </c>
      <c r="AC210" s="99"/>
      <c r="AD210" s="99"/>
      <c r="AE210" s="99"/>
      <c r="AF210" s="98"/>
      <c r="AH210" s="98"/>
    </row>
    <row r="211" spans="1:34" ht="25.5" customHeight="1" x14ac:dyDescent="0.25">
      <c r="A211" s="56" t="s">
        <v>19</v>
      </c>
      <c r="B211" s="54" t="s">
        <v>5</v>
      </c>
      <c r="C211" s="55">
        <f>369890+467408</f>
        <v>837298</v>
      </c>
      <c r="D211" s="55">
        <f>11924+18567</f>
        <v>30491</v>
      </c>
      <c r="E211" s="55">
        <f>37188+43918</f>
        <v>81106</v>
      </c>
      <c r="F211" s="55">
        <f>2062+2181</f>
        <v>4243</v>
      </c>
      <c r="G211" s="55">
        <f t="shared" si="57"/>
        <v>115840</v>
      </c>
      <c r="H211" s="63">
        <f>73538+114508</f>
        <v>188046</v>
      </c>
      <c r="I211" s="63">
        <f>229355+270859</f>
        <v>500214</v>
      </c>
      <c r="J211" s="63">
        <f>12719+13453</f>
        <v>26172</v>
      </c>
      <c r="K211" s="63">
        <f t="shared" si="58"/>
        <v>714432</v>
      </c>
      <c r="L211" s="63">
        <f>723+1126</f>
        <v>1849</v>
      </c>
      <c r="M211" s="63">
        <f>2255+2663</f>
        <v>4918</v>
      </c>
      <c r="N211" s="63">
        <f>126+133</f>
        <v>259</v>
      </c>
      <c r="O211" s="63">
        <f t="shared" si="59"/>
        <v>7026</v>
      </c>
      <c r="R211" s="62">
        <f>G211+K211+O211</f>
        <v>837298</v>
      </c>
      <c r="S211" s="62">
        <f>R211-C211</f>
        <v>0</v>
      </c>
      <c r="V211" s="62">
        <f t="shared" si="62"/>
        <v>220386</v>
      </c>
      <c r="W211" s="62">
        <f t="shared" si="56"/>
        <v>586238</v>
      </c>
      <c r="X211" s="62">
        <f t="shared" si="56"/>
        <v>30674</v>
      </c>
      <c r="Y211" s="62">
        <f t="shared" si="63"/>
        <v>837298</v>
      </c>
      <c r="Z211" s="62">
        <f t="shared" si="64"/>
        <v>0</v>
      </c>
      <c r="AC211" s="99"/>
      <c r="AD211" s="99"/>
      <c r="AE211" s="99"/>
      <c r="AF211" s="98"/>
      <c r="AH211" s="98"/>
    </row>
    <row r="212" spans="1:34" ht="25.5" customHeight="1" x14ac:dyDescent="0.25">
      <c r="A212" s="56" t="s">
        <v>18</v>
      </c>
      <c r="B212" s="54" t="s">
        <v>4</v>
      </c>
      <c r="C212" s="55">
        <f>306503+440297</f>
        <v>746800</v>
      </c>
      <c r="D212" s="55">
        <f>5943+8538</f>
        <v>14481</v>
      </c>
      <c r="E212" s="55">
        <f>10016+14388</f>
        <v>24404</v>
      </c>
      <c r="F212" s="55">
        <f>414+595</f>
        <v>1009</v>
      </c>
      <c r="G212" s="55">
        <f t="shared" si="57"/>
        <v>39894</v>
      </c>
      <c r="H212" s="63">
        <f>101838+146290</f>
        <v>248128</v>
      </c>
      <c r="I212" s="63">
        <f>171610+246526</f>
        <v>418136</v>
      </c>
      <c r="J212" s="63">
        <f>7098+10193</f>
        <v>17291</v>
      </c>
      <c r="K212" s="63">
        <f t="shared" si="58"/>
        <v>683555</v>
      </c>
      <c r="L212" s="63">
        <f>3479+4997</f>
        <v>8476</v>
      </c>
      <c r="M212" s="63">
        <f>5863+8422</f>
        <v>14285</v>
      </c>
      <c r="N212" s="63">
        <f>242+348</f>
        <v>590</v>
      </c>
      <c r="O212" s="63">
        <f t="shared" si="59"/>
        <v>23351</v>
      </c>
      <c r="R212" s="62">
        <f t="shared" si="60"/>
        <v>746800</v>
      </c>
      <c r="S212" s="62">
        <f t="shared" si="61"/>
        <v>0</v>
      </c>
      <c r="V212" s="62">
        <f t="shared" si="62"/>
        <v>271085</v>
      </c>
      <c r="W212" s="62">
        <f t="shared" si="56"/>
        <v>456825</v>
      </c>
      <c r="X212" s="62">
        <f t="shared" si="56"/>
        <v>18890</v>
      </c>
      <c r="Y212" s="62">
        <f t="shared" si="63"/>
        <v>746800</v>
      </c>
      <c r="Z212" s="62">
        <f t="shared" si="64"/>
        <v>0</v>
      </c>
      <c r="AC212" s="99"/>
      <c r="AD212" s="99"/>
      <c r="AE212" s="99"/>
      <c r="AF212" s="98"/>
      <c r="AH212" s="98"/>
    </row>
    <row r="213" spans="1:34" ht="25.5" customHeight="1" x14ac:dyDescent="0.25">
      <c r="A213" s="56" t="s">
        <v>25</v>
      </c>
      <c r="B213" s="54" t="s">
        <v>3</v>
      </c>
      <c r="C213" s="55">
        <f>677961+126225</f>
        <v>804186</v>
      </c>
      <c r="D213" s="55">
        <f>32495+6050</f>
        <v>38545</v>
      </c>
      <c r="E213" s="55">
        <f>15998+2978</f>
        <v>18976</v>
      </c>
      <c r="F213" s="55">
        <f>1500+280</f>
        <v>1780</v>
      </c>
      <c r="G213" s="55">
        <f>D213+E213+F213</f>
        <v>59301</v>
      </c>
      <c r="H213" s="63">
        <f>363072+67597</f>
        <v>430669</v>
      </c>
      <c r="I213" s="63">
        <f>178743+33276</f>
        <v>212019</v>
      </c>
      <c r="J213" s="63">
        <f>16757+3124</f>
        <v>19881</v>
      </c>
      <c r="K213" s="63">
        <f t="shared" si="58"/>
        <v>662569</v>
      </c>
      <c r="L213" s="63">
        <f>45107+8398</f>
        <v>53505</v>
      </c>
      <c r="M213" s="63">
        <f>22207+4134</f>
        <v>26341</v>
      </c>
      <c r="N213" s="63">
        <f>2082+388</f>
        <v>2470</v>
      </c>
      <c r="O213" s="63">
        <f t="shared" si="59"/>
        <v>82316</v>
      </c>
      <c r="R213" s="62">
        <f t="shared" si="60"/>
        <v>804186</v>
      </c>
      <c r="S213" s="62">
        <f t="shared" si="61"/>
        <v>0</v>
      </c>
      <c r="V213" s="62">
        <f t="shared" si="62"/>
        <v>522719</v>
      </c>
      <c r="W213" s="62">
        <f t="shared" si="56"/>
        <v>257336</v>
      </c>
      <c r="X213" s="62">
        <f t="shared" si="56"/>
        <v>24131</v>
      </c>
      <c r="Y213" s="62">
        <f t="shared" si="63"/>
        <v>804186</v>
      </c>
      <c r="Z213" s="62">
        <f t="shared" si="64"/>
        <v>0</v>
      </c>
      <c r="AC213" s="99"/>
      <c r="AD213" s="99"/>
      <c r="AE213" s="99"/>
      <c r="AF213" s="98"/>
      <c r="AH213" s="98"/>
    </row>
    <row r="214" spans="1:34" ht="54" customHeight="1" x14ac:dyDescent="0.25">
      <c r="A214" s="56" t="s">
        <v>30</v>
      </c>
      <c r="B214" s="54" t="s">
        <v>2</v>
      </c>
      <c r="C214" s="55">
        <v>39742</v>
      </c>
      <c r="D214" s="55">
        <v>1125</v>
      </c>
      <c r="E214" s="55">
        <v>0</v>
      </c>
      <c r="F214" s="55">
        <v>0</v>
      </c>
      <c r="G214" s="55">
        <f t="shared" si="57"/>
        <v>1125</v>
      </c>
      <c r="H214" s="63">
        <v>33271</v>
      </c>
      <c r="I214" s="63">
        <v>0</v>
      </c>
      <c r="J214" s="63">
        <v>0</v>
      </c>
      <c r="K214" s="63">
        <f t="shared" si="58"/>
        <v>33271</v>
      </c>
      <c r="L214" s="63">
        <v>5346</v>
      </c>
      <c r="M214" s="63">
        <v>0</v>
      </c>
      <c r="N214" s="63">
        <v>0</v>
      </c>
      <c r="O214" s="63">
        <f t="shared" si="59"/>
        <v>5346</v>
      </c>
      <c r="R214" s="62">
        <f t="shared" si="60"/>
        <v>39742</v>
      </c>
      <c r="S214" s="62">
        <f t="shared" si="61"/>
        <v>0</v>
      </c>
      <c r="V214" s="62">
        <f t="shared" si="62"/>
        <v>39742</v>
      </c>
      <c r="W214" s="62">
        <f t="shared" si="56"/>
        <v>0</v>
      </c>
      <c r="X214" s="62">
        <f t="shared" si="56"/>
        <v>0</v>
      </c>
      <c r="Y214" s="62">
        <f t="shared" si="63"/>
        <v>39742</v>
      </c>
      <c r="Z214" s="62">
        <f t="shared" si="64"/>
        <v>0</v>
      </c>
      <c r="AF214" s="98"/>
      <c r="AH214" s="98"/>
    </row>
    <row r="215" spans="1:34" ht="39.75" customHeight="1" x14ac:dyDescent="0.25">
      <c r="A215" s="56" t="s">
        <v>31</v>
      </c>
      <c r="B215" s="54" t="s">
        <v>1</v>
      </c>
      <c r="C215" s="55">
        <v>24773</v>
      </c>
      <c r="D215" s="55">
        <v>1843</v>
      </c>
      <c r="E215" s="55">
        <v>0</v>
      </c>
      <c r="F215" s="55">
        <v>0</v>
      </c>
      <c r="G215" s="55">
        <f t="shared" si="57"/>
        <v>1843</v>
      </c>
      <c r="H215" s="63">
        <v>21931</v>
      </c>
      <c r="I215" s="63">
        <v>0</v>
      </c>
      <c r="J215" s="63">
        <v>0</v>
      </c>
      <c r="K215" s="63">
        <f t="shared" si="58"/>
        <v>21931</v>
      </c>
      <c r="L215" s="63">
        <v>999</v>
      </c>
      <c r="M215" s="63">
        <v>0</v>
      </c>
      <c r="N215" s="63">
        <v>0</v>
      </c>
      <c r="O215" s="63">
        <f t="shared" si="59"/>
        <v>999</v>
      </c>
      <c r="R215" s="62">
        <f t="shared" si="60"/>
        <v>24773</v>
      </c>
      <c r="S215" s="62">
        <f t="shared" si="61"/>
        <v>0</v>
      </c>
      <c r="V215" s="62">
        <f t="shared" si="62"/>
        <v>24773</v>
      </c>
      <c r="W215" s="62">
        <f t="shared" si="56"/>
        <v>0</v>
      </c>
      <c r="X215" s="62">
        <f t="shared" si="56"/>
        <v>0</v>
      </c>
      <c r="Y215" s="62">
        <f t="shared" si="63"/>
        <v>24773</v>
      </c>
      <c r="Z215" s="62">
        <f t="shared" si="64"/>
        <v>0</v>
      </c>
      <c r="AF215" s="98"/>
      <c r="AH215" s="98"/>
    </row>
    <row r="216" spans="1:34" ht="33" customHeight="1" x14ac:dyDescent="0.25">
      <c r="A216" s="56" t="s">
        <v>32</v>
      </c>
      <c r="B216" s="54" t="s">
        <v>73</v>
      </c>
      <c r="C216" s="55">
        <v>21248</v>
      </c>
      <c r="D216" s="55">
        <v>4180</v>
      </c>
      <c r="E216" s="55">
        <v>0</v>
      </c>
      <c r="F216" s="55">
        <v>0</v>
      </c>
      <c r="G216" s="55">
        <f t="shared" si="57"/>
        <v>4180</v>
      </c>
      <c r="H216" s="63">
        <v>13680</v>
      </c>
      <c r="I216" s="63">
        <v>0</v>
      </c>
      <c r="J216" s="63">
        <v>0</v>
      </c>
      <c r="K216" s="63">
        <f t="shared" si="58"/>
        <v>13680</v>
      </c>
      <c r="L216" s="63">
        <v>3388</v>
      </c>
      <c r="M216" s="63">
        <v>0</v>
      </c>
      <c r="N216" s="63">
        <v>0</v>
      </c>
      <c r="O216" s="63">
        <f t="shared" si="59"/>
        <v>3388</v>
      </c>
      <c r="R216" s="62">
        <f t="shared" si="60"/>
        <v>21248</v>
      </c>
      <c r="S216" s="62">
        <f t="shared" si="61"/>
        <v>0</v>
      </c>
      <c r="V216" s="62">
        <f t="shared" si="62"/>
        <v>21248</v>
      </c>
      <c r="W216" s="62">
        <f t="shared" si="62"/>
        <v>0</v>
      </c>
      <c r="X216" s="62">
        <f t="shared" si="62"/>
        <v>0</v>
      </c>
      <c r="Y216" s="62">
        <f t="shared" si="63"/>
        <v>21248</v>
      </c>
      <c r="Z216" s="62">
        <f t="shared" si="64"/>
        <v>0</v>
      </c>
      <c r="AF216" s="98"/>
      <c r="AH216" s="98"/>
    </row>
    <row r="217" spans="1:34" ht="33" customHeight="1" x14ac:dyDescent="0.25">
      <c r="A217" s="56" t="s">
        <v>90</v>
      </c>
      <c r="B217" s="70" t="s">
        <v>91</v>
      </c>
      <c r="C217" s="55">
        <f>E217+I217+M217</f>
        <v>61662</v>
      </c>
      <c r="D217" s="55">
        <v>0</v>
      </c>
      <c r="E217" s="55">
        <v>10436</v>
      </c>
      <c r="F217" s="55">
        <v>0</v>
      </c>
      <c r="G217" s="55">
        <f t="shared" si="57"/>
        <v>10436</v>
      </c>
      <c r="H217" s="63">
        <v>0</v>
      </c>
      <c r="I217" s="63">
        <v>34306</v>
      </c>
      <c r="J217" s="63">
        <v>0</v>
      </c>
      <c r="K217" s="63">
        <f t="shared" si="58"/>
        <v>34306</v>
      </c>
      <c r="L217" s="63">
        <v>0</v>
      </c>
      <c r="M217" s="63">
        <v>16920</v>
      </c>
      <c r="N217" s="63">
        <v>0</v>
      </c>
      <c r="O217" s="63">
        <f t="shared" si="59"/>
        <v>16920</v>
      </c>
      <c r="R217" s="62">
        <f t="shared" si="60"/>
        <v>61662</v>
      </c>
      <c r="S217" s="62">
        <f>R217-C217</f>
        <v>0</v>
      </c>
      <c r="V217" s="62">
        <f t="shared" si="62"/>
        <v>0</v>
      </c>
      <c r="W217" s="62">
        <f t="shared" si="62"/>
        <v>61662</v>
      </c>
      <c r="X217" s="62">
        <f t="shared" si="62"/>
        <v>0</v>
      </c>
      <c r="Y217" s="62">
        <f t="shared" si="63"/>
        <v>61662</v>
      </c>
      <c r="Z217" s="62">
        <f t="shared" si="64"/>
        <v>0</v>
      </c>
      <c r="AF217" s="98"/>
      <c r="AH217" s="98"/>
    </row>
    <row r="218" spans="1:34" ht="25.5" customHeight="1" x14ac:dyDescent="0.25">
      <c r="A218" s="57"/>
      <c r="B218" s="57" t="s">
        <v>0</v>
      </c>
      <c r="C218" s="58">
        <f>SUM(C200:C217)</f>
        <v>13371268</v>
      </c>
      <c r="D218" s="58">
        <f t="shared" ref="D218:O218" si="65">SUM(D200:D217)</f>
        <v>342631</v>
      </c>
      <c r="E218" s="58">
        <f t="shared" si="65"/>
        <v>1133389</v>
      </c>
      <c r="F218" s="58">
        <f t="shared" si="65"/>
        <v>13211</v>
      </c>
      <c r="G218" s="58">
        <f t="shared" si="65"/>
        <v>1489231</v>
      </c>
      <c r="H218" s="58">
        <f t="shared" si="65"/>
        <v>2783284</v>
      </c>
      <c r="I218" s="58">
        <f t="shared" si="65"/>
        <v>7170610</v>
      </c>
      <c r="J218" s="58">
        <f t="shared" si="65"/>
        <v>116341</v>
      </c>
      <c r="K218" s="58">
        <f t="shared" si="65"/>
        <v>10070235</v>
      </c>
      <c r="L218" s="58">
        <f t="shared" si="65"/>
        <v>384789</v>
      </c>
      <c r="M218" s="58">
        <f t="shared" si="65"/>
        <v>1413241</v>
      </c>
      <c r="N218" s="58">
        <f t="shared" si="65"/>
        <v>13772</v>
      </c>
      <c r="O218" s="58">
        <f t="shared" si="65"/>
        <v>1811802</v>
      </c>
      <c r="R218" s="62">
        <f>G218+K218+O218</f>
        <v>13371268</v>
      </c>
      <c r="S218" s="62">
        <f t="shared" si="61"/>
        <v>0</v>
      </c>
      <c r="V218" s="62">
        <f t="shared" si="62"/>
        <v>3510704</v>
      </c>
      <c r="W218" s="62">
        <f t="shared" si="62"/>
        <v>9717240</v>
      </c>
      <c r="X218" s="62">
        <f t="shared" si="62"/>
        <v>143324</v>
      </c>
      <c r="Y218" s="62">
        <f t="shared" si="63"/>
        <v>13371268</v>
      </c>
      <c r="Z218" s="62">
        <f t="shared" si="64"/>
        <v>0</v>
      </c>
      <c r="AF218" s="98"/>
      <c r="AH218" s="98"/>
    </row>
    <row r="220" spans="1:34" s="4" customFormat="1" ht="28.5" customHeight="1" x14ac:dyDescent="0.25">
      <c r="A220" s="152" t="s">
        <v>17</v>
      </c>
      <c r="B220" s="152" t="s">
        <v>33</v>
      </c>
      <c r="C220" s="152" t="s">
        <v>82</v>
      </c>
      <c r="D220" s="152" t="s">
        <v>69</v>
      </c>
      <c r="E220" s="152"/>
      <c r="F220" s="152"/>
      <c r="G220" s="152"/>
      <c r="H220" s="152"/>
      <c r="I220" s="152"/>
      <c r="J220" s="152"/>
      <c r="K220" s="152"/>
      <c r="L220" s="152"/>
      <c r="M220" s="152"/>
      <c r="N220" s="152"/>
      <c r="O220" s="152"/>
      <c r="R220" s="61"/>
      <c r="S220" s="61"/>
      <c r="V220" s="61"/>
      <c r="W220" s="61"/>
      <c r="X220" s="61"/>
      <c r="Y220" s="61"/>
      <c r="Z220" s="61"/>
      <c r="AC220" s="95"/>
      <c r="AD220" s="95"/>
      <c r="AE220" s="95"/>
      <c r="AF220" s="95"/>
      <c r="AG220" s="93"/>
      <c r="AH220" s="95"/>
    </row>
    <row r="221" spans="1:34" s="4" customFormat="1" ht="41.25" customHeight="1" x14ac:dyDescent="0.25">
      <c r="A221" s="152"/>
      <c r="B221" s="152"/>
      <c r="C221" s="152"/>
      <c r="D221" s="154" t="s">
        <v>36</v>
      </c>
      <c r="E221" s="154"/>
      <c r="F221" s="154"/>
      <c r="G221" s="154"/>
      <c r="H221" s="155" t="s">
        <v>37</v>
      </c>
      <c r="I221" s="156"/>
      <c r="J221" s="156"/>
      <c r="K221" s="157"/>
      <c r="L221" s="155" t="s">
        <v>38</v>
      </c>
      <c r="M221" s="156"/>
      <c r="N221" s="156"/>
      <c r="O221" s="157"/>
      <c r="R221" s="61"/>
      <c r="S221" s="61"/>
      <c r="V221" s="61"/>
      <c r="W221" s="61"/>
      <c r="X221" s="61"/>
      <c r="Y221" s="61"/>
      <c r="Z221" s="61"/>
      <c r="AC221" s="95"/>
      <c r="AD221" s="95"/>
      <c r="AE221" s="95"/>
      <c r="AF221" s="95"/>
      <c r="AG221" s="93"/>
      <c r="AH221" s="95"/>
    </row>
    <row r="222" spans="1:34" s="4" customFormat="1" ht="59.25" customHeight="1" x14ac:dyDescent="0.25">
      <c r="A222" s="152"/>
      <c r="B222" s="152"/>
      <c r="C222" s="152"/>
      <c r="D222" s="83" t="s">
        <v>66</v>
      </c>
      <c r="E222" s="83" t="s">
        <v>67</v>
      </c>
      <c r="F222" s="83" t="s">
        <v>68</v>
      </c>
      <c r="G222" s="83" t="s">
        <v>70</v>
      </c>
      <c r="H222" s="65" t="s">
        <v>66</v>
      </c>
      <c r="I222" s="65" t="s">
        <v>67</v>
      </c>
      <c r="J222" s="65" t="s">
        <v>68</v>
      </c>
      <c r="K222" s="65" t="s">
        <v>71</v>
      </c>
      <c r="L222" s="65" t="s">
        <v>66</v>
      </c>
      <c r="M222" s="65" t="s">
        <v>67</v>
      </c>
      <c r="N222" s="65" t="s">
        <v>68</v>
      </c>
      <c r="O222" s="65" t="s">
        <v>72</v>
      </c>
      <c r="R222" s="61"/>
      <c r="S222" s="61"/>
      <c r="V222" s="61" t="s">
        <v>44</v>
      </c>
      <c r="W222" s="61" t="s">
        <v>96</v>
      </c>
      <c r="X222" s="61" t="s">
        <v>97</v>
      </c>
      <c r="Y222" s="61"/>
      <c r="Z222" s="61"/>
      <c r="AC222" s="95"/>
      <c r="AD222" s="95"/>
      <c r="AE222" s="95"/>
      <c r="AF222" s="95"/>
      <c r="AG222" s="93"/>
      <c r="AH222" s="95"/>
    </row>
    <row r="223" spans="1:34" s="3" customFormat="1" ht="14.25" customHeight="1" x14ac:dyDescent="0.25">
      <c r="A223" s="53">
        <v>1</v>
      </c>
      <c r="B223" s="53">
        <v>2</v>
      </c>
      <c r="C223" s="53">
        <v>3</v>
      </c>
      <c r="D223" s="53">
        <v>4</v>
      </c>
      <c r="E223" s="53">
        <v>5</v>
      </c>
      <c r="F223" s="53">
        <v>6</v>
      </c>
      <c r="G223" s="53">
        <v>7</v>
      </c>
      <c r="H223" s="66">
        <v>8</v>
      </c>
      <c r="I223" s="66">
        <v>9</v>
      </c>
      <c r="J223" s="66">
        <v>10</v>
      </c>
      <c r="K223" s="66">
        <v>11</v>
      </c>
      <c r="L223" s="66">
        <v>12</v>
      </c>
      <c r="M223" s="66">
        <v>13</v>
      </c>
      <c r="N223" s="66">
        <v>14</v>
      </c>
      <c r="O223" s="66">
        <v>15</v>
      </c>
      <c r="R223" s="61"/>
      <c r="S223" s="61"/>
      <c r="V223" s="61"/>
      <c r="W223" s="61"/>
      <c r="X223" s="61"/>
      <c r="Y223" s="61"/>
      <c r="Z223" s="61"/>
      <c r="AC223" s="95"/>
      <c r="AD223" s="95"/>
      <c r="AE223" s="95"/>
      <c r="AF223" s="95"/>
      <c r="AG223" s="94"/>
      <c r="AH223" s="95"/>
    </row>
    <row r="224" spans="1:34" s="3" customFormat="1" ht="25.5" customHeight="1" x14ac:dyDescent="0.25">
      <c r="A224" s="53" t="s">
        <v>16</v>
      </c>
      <c r="B224" s="54" t="s">
        <v>15</v>
      </c>
      <c r="C224" s="55">
        <f>2110471+283039</f>
        <v>2393510</v>
      </c>
      <c r="D224" s="55">
        <f>69580+9328</f>
        <v>78908</v>
      </c>
      <c r="E224" s="55">
        <f>259716+34834</f>
        <v>294550</v>
      </c>
      <c r="F224" s="55">
        <v>0</v>
      </c>
      <c r="G224" s="55">
        <f>D224+E224+F224</f>
        <v>373458</v>
      </c>
      <c r="H224" s="63">
        <f>293395+39334</f>
        <v>332729</v>
      </c>
      <c r="I224" s="63">
        <f>1095127+146884</f>
        <v>1242011</v>
      </c>
      <c r="J224" s="63">
        <v>0</v>
      </c>
      <c r="K224" s="63">
        <f>H224+I224+J224</f>
        <v>1574740</v>
      </c>
      <c r="L224" s="63">
        <f>82968+11123</f>
        <v>94091</v>
      </c>
      <c r="M224" s="63">
        <f>309685+41536</f>
        <v>351221</v>
      </c>
      <c r="N224" s="63">
        <v>0</v>
      </c>
      <c r="O224" s="63">
        <f>L224+M224+N224</f>
        <v>445312</v>
      </c>
      <c r="R224" s="62">
        <f>G224+K224+O224</f>
        <v>2393510</v>
      </c>
      <c r="S224" s="62">
        <f>R224-C224</f>
        <v>0</v>
      </c>
      <c r="V224" s="62">
        <f>D224+H224+L224</f>
        <v>505728</v>
      </c>
      <c r="W224" s="62">
        <f t="shared" ref="W224:X242" si="66">E224+I224+M224</f>
        <v>1887782</v>
      </c>
      <c r="X224" s="62">
        <f t="shared" si="66"/>
        <v>0</v>
      </c>
      <c r="Y224" s="62">
        <f>V224+W224+X224</f>
        <v>2393510</v>
      </c>
      <c r="Z224" s="62">
        <f>Y224-C224</f>
        <v>0</v>
      </c>
      <c r="AC224" s="99"/>
      <c r="AD224" s="99"/>
      <c r="AE224" s="99"/>
      <c r="AF224" s="98"/>
      <c r="AG224" s="92"/>
      <c r="AH224" s="98"/>
    </row>
    <row r="225" spans="1:34" ht="40.5" customHeight="1" x14ac:dyDescent="0.25">
      <c r="A225" s="56" t="s">
        <v>24</v>
      </c>
      <c r="B225" s="54" t="s">
        <v>14</v>
      </c>
      <c r="C225" s="55">
        <v>272064</v>
      </c>
      <c r="D225" s="55">
        <v>28657</v>
      </c>
      <c r="E225" s="55">
        <v>26864</v>
      </c>
      <c r="F225" s="55">
        <v>857</v>
      </c>
      <c r="G225" s="55">
        <f t="shared" ref="G225:G241" si="67">D225+E225+F225</f>
        <v>56378</v>
      </c>
      <c r="H225" s="63">
        <v>84216</v>
      </c>
      <c r="I225" s="63">
        <v>78947</v>
      </c>
      <c r="J225" s="63">
        <v>2518</v>
      </c>
      <c r="K225" s="63">
        <f t="shared" ref="K225:K241" si="68">H225+I225+J225</f>
        <v>165681</v>
      </c>
      <c r="L225" s="63">
        <v>25418</v>
      </c>
      <c r="M225" s="63">
        <v>23827</v>
      </c>
      <c r="N225" s="63">
        <v>760</v>
      </c>
      <c r="O225" s="63">
        <f t="shared" ref="O225:O241" si="69">L225+M225+N225</f>
        <v>50005</v>
      </c>
      <c r="R225" s="62">
        <f t="shared" ref="R225:R242" si="70">G225+K225+O225</f>
        <v>272064</v>
      </c>
      <c r="S225" s="62">
        <f t="shared" ref="S225:S242" si="71">R225-C225</f>
        <v>0</v>
      </c>
      <c r="V225" s="62">
        <f t="shared" ref="V225:V242" si="72">D225+H225+L225</f>
        <v>138291</v>
      </c>
      <c r="W225" s="62">
        <f t="shared" si="66"/>
        <v>129638</v>
      </c>
      <c r="X225" s="62">
        <f t="shared" si="66"/>
        <v>4135</v>
      </c>
      <c r="Y225" s="62">
        <f t="shared" ref="Y225:Y242" si="73">V225+W225+X225</f>
        <v>272064</v>
      </c>
      <c r="Z225" s="62">
        <f t="shared" ref="Z225:Z242" si="74">Y225-C225</f>
        <v>0</v>
      </c>
      <c r="AC225" s="99"/>
      <c r="AF225" s="98"/>
      <c r="AH225" s="98"/>
    </row>
    <row r="226" spans="1:34" ht="34.5" customHeight="1" x14ac:dyDescent="0.25">
      <c r="A226" s="56" t="s">
        <v>24</v>
      </c>
      <c r="B226" s="54" t="s">
        <v>13</v>
      </c>
      <c r="C226" s="55">
        <f>632606+21979</f>
        <v>654585</v>
      </c>
      <c r="D226" s="55">
        <v>0</v>
      </c>
      <c r="E226" s="55">
        <f>35856+1246</f>
        <v>37102</v>
      </c>
      <c r="F226" s="55">
        <v>0</v>
      </c>
      <c r="G226" s="55">
        <f t="shared" si="67"/>
        <v>37102</v>
      </c>
      <c r="H226" s="63">
        <v>0</v>
      </c>
      <c r="I226" s="63">
        <f>531484+18466</f>
        <v>549950</v>
      </c>
      <c r="J226" s="63">
        <v>0</v>
      </c>
      <c r="K226" s="63">
        <f t="shared" si="68"/>
        <v>549950</v>
      </c>
      <c r="L226" s="63">
        <v>0</v>
      </c>
      <c r="M226" s="63">
        <f>65266+2267</f>
        <v>67533</v>
      </c>
      <c r="N226" s="63">
        <v>0</v>
      </c>
      <c r="O226" s="63">
        <f t="shared" si="69"/>
        <v>67533</v>
      </c>
      <c r="R226" s="62">
        <f t="shared" si="70"/>
        <v>654585</v>
      </c>
      <c r="S226" s="62">
        <f t="shared" si="71"/>
        <v>0</v>
      </c>
      <c r="V226" s="62">
        <f t="shared" si="72"/>
        <v>0</v>
      </c>
      <c r="W226" s="62">
        <f t="shared" si="66"/>
        <v>654585</v>
      </c>
      <c r="X226" s="62">
        <f t="shared" si="66"/>
        <v>0</v>
      </c>
      <c r="Y226" s="62">
        <f t="shared" si="73"/>
        <v>654585</v>
      </c>
      <c r="Z226" s="62">
        <f t="shared" si="74"/>
        <v>0</v>
      </c>
      <c r="AC226" s="99"/>
      <c r="AD226" s="99"/>
      <c r="AE226" s="99"/>
      <c r="AF226" s="98"/>
      <c r="AH226" s="98"/>
    </row>
    <row r="227" spans="1:34" ht="40.5" customHeight="1" x14ac:dyDescent="0.25">
      <c r="A227" s="56" t="s">
        <v>22</v>
      </c>
      <c r="B227" s="54" t="s">
        <v>12</v>
      </c>
      <c r="C227" s="55">
        <v>129030</v>
      </c>
      <c r="D227" s="55">
        <v>14842</v>
      </c>
      <c r="E227" s="55">
        <v>0</v>
      </c>
      <c r="F227" s="55">
        <v>0</v>
      </c>
      <c r="G227" s="55">
        <f t="shared" si="67"/>
        <v>14842</v>
      </c>
      <c r="H227" s="63">
        <v>96530</v>
      </c>
      <c r="I227" s="63">
        <v>0</v>
      </c>
      <c r="J227" s="63">
        <v>0</v>
      </c>
      <c r="K227" s="63">
        <f t="shared" si="68"/>
        <v>96530</v>
      </c>
      <c r="L227" s="63">
        <v>17658</v>
      </c>
      <c r="M227" s="63">
        <v>0</v>
      </c>
      <c r="N227" s="63">
        <v>0</v>
      </c>
      <c r="O227" s="63">
        <f t="shared" si="69"/>
        <v>17658</v>
      </c>
      <c r="R227" s="62">
        <f t="shared" si="70"/>
        <v>129030</v>
      </c>
      <c r="S227" s="62">
        <f t="shared" si="71"/>
        <v>0</v>
      </c>
      <c r="V227" s="62">
        <f t="shared" si="72"/>
        <v>129030</v>
      </c>
      <c r="W227" s="62">
        <f t="shared" si="66"/>
        <v>0</v>
      </c>
      <c r="X227" s="62">
        <f t="shared" si="66"/>
        <v>0</v>
      </c>
      <c r="Y227" s="62">
        <f t="shared" si="73"/>
        <v>129030</v>
      </c>
      <c r="Z227" s="62">
        <f t="shared" si="74"/>
        <v>0</v>
      </c>
      <c r="AC227" s="99"/>
      <c r="AF227" s="98"/>
      <c r="AH227" s="98"/>
    </row>
    <row r="228" spans="1:34" ht="39.75" customHeight="1" x14ac:dyDescent="0.25">
      <c r="A228" s="56" t="s">
        <v>23</v>
      </c>
      <c r="B228" s="54" t="s">
        <v>11</v>
      </c>
      <c r="C228" s="55">
        <f>102891+27159</f>
        <v>130050</v>
      </c>
      <c r="D228" s="55">
        <f>4054+1070</f>
        <v>5124</v>
      </c>
      <c r="E228" s="55">
        <f>6339+1673</f>
        <v>8012</v>
      </c>
      <c r="F228" s="55">
        <f>2761+729</f>
        <v>3490</v>
      </c>
      <c r="G228" s="55">
        <f t="shared" si="67"/>
        <v>16626</v>
      </c>
      <c r="H228" s="63">
        <f>21507+5678</f>
        <v>27185</v>
      </c>
      <c r="I228" s="63">
        <f>33628+8874</f>
        <v>42502</v>
      </c>
      <c r="J228" s="63">
        <f>14647+3867</f>
        <v>18514</v>
      </c>
      <c r="K228" s="63">
        <f t="shared" si="68"/>
        <v>88201</v>
      </c>
      <c r="L228" s="63">
        <f>6150+1624</f>
        <v>7774</v>
      </c>
      <c r="M228" s="63">
        <f>9616+2538</f>
        <v>12154</v>
      </c>
      <c r="N228" s="63">
        <f>4189+1106</f>
        <v>5295</v>
      </c>
      <c r="O228" s="63">
        <f t="shared" si="69"/>
        <v>25223</v>
      </c>
      <c r="R228" s="62">
        <f t="shared" si="70"/>
        <v>130050</v>
      </c>
      <c r="S228" s="62">
        <f t="shared" si="71"/>
        <v>0</v>
      </c>
      <c r="V228" s="62">
        <f t="shared" si="72"/>
        <v>40083</v>
      </c>
      <c r="W228" s="62">
        <f t="shared" si="66"/>
        <v>62668</v>
      </c>
      <c r="X228" s="62">
        <f t="shared" si="66"/>
        <v>27299</v>
      </c>
      <c r="Y228" s="62">
        <f t="shared" si="73"/>
        <v>130050</v>
      </c>
      <c r="Z228" s="62">
        <f t="shared" si="74"/>
        <v>0</v>
      </c>
      <c r="AC228" s="99"/>
      <c r="AD228" s="99"/>
      <c r="AE228" s="99"/>
      <c r="AF228" s="98"/>
      <c r="AH228" s="98"/>
    </row>
    <row r="229" spans="1:34" ht="28.5" customHeight="1" x14ac:dyDescent="0.25">
      <c r="A229" s="56" t="s">
        <v>20</v>
      </c>
      <c r="B229" s="54" t="s">
        <v>34</v>
      </c>
      <c r="C229" s="55">
        <v>205431</v>
      </c>
      <c r="D229" s="55">
        <v>38453</v>
      </c>
      <c r="E229" s="55">
        <v>0</v>
      </c>
      <c r="F229" s="55">
        <v>0</v>
      </c>
      <c r="G229" s="55">
        <f t="shared" si="67"/>
        <v>38453</v>
      </c>
      <c r="H229" s="63">
        <v>125512</v>
      </c>
      <c r="I229" s="63">
        <v>0</v>
      </c>
      <c r="J229" s="63">
        <v>0</v>
      </c>
      <c r="K229" s="63">
        <f t="shared" si="68"/>
        <v>125512</v>
      </c>
      <c r="L229" s="63">
        <v>41466</v>
      </c>
      <c r="M229" s="63">
        <v>0</v>
      </c>
      <c r="N229" s="63">
        <v>0</v>
      </c>
      <c r="O229" s="63">
        <f t="shared" si="69"/>
        <v>41466</v>
      </c>
      <c r="R229" s="62">
        <f t="shared" si="70"/>
        <v>205431</v>
      </c>
      <c r="S229" s="62">
        <f t="shared" si="71"/>
        <v>0</v>
      </c>
      <c r="V229" s="62">
        <f t="shared" si="72"/>
        <v>205431</v>
      </c>
      <c r="W229" s="62">
        <f t="shared" si="66"/>
        <v>0</v>
      </c>
      <c r="X229" s="62">
        <f t="shared" si="66"/>
        <v>0</v>
      </c>
      <c r="Y229" s="62">
        <f t="shared" si="73"/>
        <v>205431</v>
      </c>
      <c r="Z229" s="62">
        <f t="shared" si="74"/>
        <v>0</v>
      </c>
      <c r="AC229" s="99"/>
      <c r="AF229" s="98"/>
      <c r="AH229" s="98"/>
    </row>
    <row r="230" spans="1:34" ht="34.5" customHeight="1" x14ac:dyDescent="0.25">
      <c r="A230" s="56" t="s">
        <v>22</v>
      </c>
      <c r="B230" s="54" t="s">
        <v>10</v>
      </c>
      <c r="C230" s="55">
        <f>689964+4751</f>
        <v>694715</v>
      </c>
      <c r="D230" s="55">
        <f>14990+103</f>
        <v>15093</v>
      </c>
      <c r="E230" s="55">
        <f>19606+135</f>
        <v>19741</v>
      </c>
      <c r="F230" s="55">
        <f>916+6</f>
        <v>922</v>
      </c>
      <c r="G230" s="55">
        <f t="shared" si="67"/>
        <v>35756</v>
      </c>
      <c r="H230" s="63">
        <f>233139+1605</f>
        <v>234744</v>
      </c>
      <c r="I230" s="63">
        <f>304941+2100</f>
        <v>307041</v>
      </c>
      <c r="J230" s="63">
        <f>14250+99</f>
        <v>14349</v>
      </c>
      <c r="K230" s="63">
        <f t="shared" si="68"/>
        <v>556134</v>
      </c>
      <c r="L230" s="63">
        <f>43106+297</f>
        <v>43403</v>
      </c>
      <c r="M230" s="63">
        <f>56381+388</f>
        <v>56769</v>
      </c>
      <c r="N230" s="63">
        <f>2635+18</f>
        <v>2653</v>
      </c>
      <c r="O230" s="63">
        <f t="shared" si="69"/>
        <v>102825</v>
      </c>
      <c r="R230" s="62">
        <f t="shared" si="70"/>
        <v>694715</v>
      </c>
      <c r="S230" s="62">
        <f t="shared" si="71"/>
        <v>0</v>
      </c>
      <c r="V230" s="62">
        <f t="shared" si="72"/>
        <v>293240</v>
      </c>
      <c r="W230" s="62">
        <f t="shared" si="66"/>
        <v>383551</v>
      </c>
      <c r="X230" s="62">
        <f t="shared" si="66"/>
        <v>17924</v>
      </c>
      <c r="Y230" s="62">
        <f t="shared" si="73"/>
        <v>694715</v>
      </c>
      <c r="Z230" s="62">
        <f t="shared" si="74"/>
        <v>0</v>
      </c>
      <c r="AC230" s="99"/>
      <c r="AD230" s="99"/>
      <c r="AE230" s="99"/>
      <c r="AF230" s="98"/>
      <c r="AH230" s="98"/>
    </row>
    <row r="231" spans="1:34" ht="25.5" customHeight="1" x14ac:dyDescent="0.25">
      <c r="A231" s="56" t="s">
        <v>21</v>
      </c>
      <c r="B231" s="54" t="s">
        <v>9</v>
      </c>
      <c r="C231" s="55">
        <f>321639+153382</f>
        <v>475021</v>
      </c>
      <c r="D231" s="55">
        <f>18430+9146</f>
        <v>27576</v>
      </c>
      <c r="E231" s="55">
        <f>59040+27798</f>
        <v>86838</v>
      </c>
      <c r="F231" s="55">
        <v>0</v>
      </c>
      <c r="G231" s="55">
        <f t="shared" si="67"/>
        <v>114414</v>
      </c>
      <c r="H231" s="63">
        <f>57587+28578</f>
        <v>86165</v>
      </c>
      <c r="I231" s="63">
        <f>184478+86857</f>
        <v>271335</v>
      </c>
      <c r="J231" s="63">
        <v>0</v>
      </c>
      <c r="K231" s="63">
        <f t="shared" si="68"/>
        <v>357500</v>
      </c>
      <c r="L231" s="63">
        <f>500+248</f>
        <v>748</v>
      </c>
      <c r="M231" s="63">
        <f>1604+755</f>
        <v>2359</v>
      </c>
      <c r="N231" s="63">
        <v>0</v>
      </c>
      <c r="O231" s="63">
        <f t="shared" si="69"/>
        <v>3107</v>
      </c>
      <c r="R231" s="62">
        <f t="shared" si="70"/>
        <v>475021</v>
      </c>
      <c r="S231" s="62">
        <f t="shared" si="71"/>
        <v>0</v>
      </c>
      <c r="V231" s="62">
        <f t="shared" si="72"/>
        <v>114489</v>
      </c>
      <c r="W231" s="62">
        <f t="shared" si="66"/>
        <v>360532</v>
      </c>
      <c r="X231" s="62">
        <f t="shared" si="66"/>
        <v>0</v>
      </c>
      <c r="Y231" s="62">
        <f t="shared" si="73"/>
        <v>475021</v>
      </c>
      <c r="Z231" s="62">
        <f t="shared" si="74"/>
        <v>0</v>
      </c>
      <c r="AC231" s="99"/>
      <c r="AD231" s="99"/>
      <c r="AE231" s="99"/>
      <c r="AF231" s="98"/>
      <c r="AH231" s="98"/>
    </row>
    <row r="232" spans="1:34" ht="25.5" customHeight="1" x14ac:dyDescent="0.25">
      <c r="A232" s="56" t="s">
        <v>25</v>
      </c>
      <c r="B232" s="54" t="s">
        <v>8</v>
      </c>
      <c r="C232" s="55">
        <v>780365</v>
      </c>
      <c r="D232" s="55">
        <v>5043</v>
      </c>
      <c r="E232" s="55">
        <v>25781</v>
      </c>
      <c r="F232" s="55">
        <v>0</v>
      </c>
      <c r="G232" s="55">
        <f t="shared" si="67"/>
        <v>30824</v>
      </c>
      <c r="H232" s="63">
        <v>81845</v>
      </c>
      <c r="I232" s="63">
        <v>418431</v>
      </c>
      <c r="J232" s="63">
        <v>0</v>
      </c>
      <c r="K232" s="63">
        <f t="shared" si="68"/>
        <v>500276</v>
      </c>
      <c r="L232" s="63">
        <v>40780</v>
      </c>
      <c r="M232" s="63">
        <v>208485</v>
      </c>
      <c r="N232" s="63">
        <v>0</v>
      </c>
      <c r="O232" s="63">
        <f t="shared" si="69"/>
        <v>249265</v>
      </c>
      <c r="R232" s="62">
        <f t="shared" si="70"/>
        <v>780365</v>
      </c>
      <c r="S232" s="62">
        <f t="shared" si="71"/>
        <v>0</v>
      </c>
      <c r="V232" s="62">
        <f t="shared" si="72"/>
        <v>127668</v>
      </c>
      <c r="W232" s="62">
        <f t="shared" si="66"/>
        <v>652697</v>
      </c>
      <c r="X232" s="62">
        <f t="shared" si="66"/>
        <v>0</v>
      </c>
      <c r="Y232" s="62">
        <f t="shared" si="73"/>
        <v>780365</v>
      </c>
      <c r="Z232" s="62">
        <f t="shared" si="74"/>
        <v>0</v>
      </c>
      <c r="AC232" s="99"/>
      <c r="AF232" s="98"/>
      <c r="AH232" s="98"/>
    </row>
    <row r="233" spans="1:34" ht="25.5" customHeight="1" x14ac:dyDescent="0.25">
      <c r="A233" s="56" t="s">
        <v>26</v>
      </c>
      <c r="B233" s="54" t="s">
        <v>7</v>
      </c>
      <c r="C233" s="55">
        <v>463878</v>
      </c>
      <c r="D233" s="55">
        <v>1152</v>
      </c>
      <c r="E233" s="55">
        <v>7323</v>
      </c>
      <c r="F233" s="55">
        <v>0</v>
      </c>
      <c r="G233" s="55">
        <f t="shared" si="67"/>
        <v>8475</v>
      </c>
      <c r="H233" s="63">
        <v>56269</v>
      </c>
      <c r="I233" s="63">
        <v>357779</v>
      </c>
      <c r="J233" s="63">
        <v>0</v>
      </c>
      <c r="K233" s="63">
        <f t="shared" si="68"/>
        <v>414048</v>
      </c>
      <c r="L233" s="63">
        <v>5620</v>
      </c>
      <c r="M233" s="63">
        <v>35735</v>
      </c>
      <c r="N233" s="63">
        <v>0</v>
      </c>
      <c r="O233" s="63">
        <f t="shared" si="69"/>
        <v>41355</v>
      </c>
      <c r="R233" s="62">
        <f t="shared" si="70"/>
        <v>463878</v>
      </c>
      <c r="S233" s="62">
        <f t="shared" si="71"/>
        <v>0</v>
      </c>
      <c r="V233" s="62">
        <f t="shared" si="72"/>
        <v>63041</v>
      </c>
      <c r="W233" s="62">
        <f t="shared" si="66"/>
        <v>400837</v>
      </c>
      <c r="X233" s="62">
        <f t="shared" si="66"/>
        <v>0</v>
      </c>
      <c r="Y233" s="62">
        <f t="shared" si="73"/>
        <v>463878</v>
      </c>
      <c r="Z233" s="62">
        <f t="shared" si="74"/>
        <v>0</v>
      </c>
      <c r="AC233" s="99"/>
      <c r="AF233" s="98"/>
      <c r="AH233" s="98"/>
    </row>
    <row r="234" spans="1:34" ht="25.5" customHeight="1" x14ac:dyDescent="0.25">
      <c r="A234" s="56" t="s">
        <v>20</v>
      </c>
      <c r="B234" s="54" t="s">
        <v>6</v>
      </c>
      <c r="C234" s="55">
        <f>'Расх по МО с 01.07.13'!C234</f>
        <v>911340</v>
      </c>
      <c r="D234" s="55">
        <f>'Расх по МО с 01.07.13'!D234</f>
        <v>3283</v>
      </c>
      <c r="E234" s="55">
        <f>'Расх по МО с 01.07.13'!E234</f>
        <v>2994</v>
      </c>
      <c r="F234" s="55">
        <f>'Расх по МО с 01.07.13'!F234</f>
        <v>76</v>
      </c>
      <c r="G234" s="55">
        <f>'Расх по МО с 01.07.13'!G234</f>
        <v>6353</v>
      </c>
      <c r="H234" s="55">
        <f>'Расх по МО с 01.07.13'!H234</f>
        <v>466930</v>
      </c>
      <c r="I234" s="55">
        <f>'Расх по МО с 01.07.13'!I234</f>
        <v>425933</v>
      </c>
      <c r="J234" s="55">
        <f>'Расх по МО с 01.07.13'!J234</f>
        <v>10757</v>
      </c>
      <c r="K234" s="55">
        <f>'Расх по МО с 01.07.13'!K234</f>
        <v>903620</v>
      </c>
      <c r="L234" s="55">
        <f>'Расх по МО с 01.07.13'!L234</f>
        <v>706</v>
      </c>
      <c r="M234" s="55">
        <f>'Расх по МО с 01.07.13'!M234</f>
        <v>645</v>
      </c>
      <c r="N234" s="55">
        <f>'Расх по МО с 01.07.13'!N234</f>
        <v>16</v>
      </c>
      <c r="O234" s="55">
        <f>'Расх по МО с 01.07.13'!O234</f>
        <v>1367</v>
      </c>
      <c r="R234" s="62">
        <f t="shared" si="70"/>
        <v>911340</v>
      </c>
      <c r="S234" s="62">
        <f t="shared" si="71"/>
        <v>0</v>
      </c>
      <c r="V234" s="62">
        <f t="shared" si="72"/>
        <v>470919</v>
      </c>
      <c r="W234" s="62">
        <f t="shared" si="66"/>
        <v>429572</v>
      </c>
      <c r="X234" s="62">
        <f t="shared" si="66"/>
        <v>10849</v>
      </c>
      <c r="Y234" s="62">
        <f t="shared" si="73"/>
        <v>911340</v>
      </c>
      <c r="Z234" s="62">
        <f t="shared" si="74"/>
        <v>0</v>
      </c>
      <c r="AC234" s="99"/>
      <c r="AD234" s="99"/>
      <c r="AE234" s="99"/>
      <c r="AF234" s="98"/>
      <c r="AH234" s="98"/>
    </row>
    <row r="235" spans="1:34" ht="25.5" customHeight="1" x14ac:dyDescent="0.25">
      <c r="A235" s="56" t="s">
        <v>19</v>
      </c>
      <c r="B235" s="54" t="s">
        <v>5</v>
      </c>
      <c r="C235" s="55">
        <f>369890+467409</f>
        <v>837299</v>
      </c>
      <c r="D235" s="55">
        <f>11924+18567</f>
        <v>30491</v>
      </c>
      <c r="E235" s="55">
        <f>37188+43918</f>
        <v>81106</v>
      </c>
      <c r="F235" s="55">
        <f>2062+2181</f>
        <v>4243</v>
      </c>
      <c r="G235" s="55">
        <f t="shared" si="67"/>
        <v>115840</v>
      </c>
      <c r="H235" s="63">
        <f>73538+114508</f>
        <v>188046</v>
      </c>
      <c r="I235" s="63">
        <f>229355+270860</f>
        <v>500215</v>
      </c>
      <c r="J235" s="63">
        <f>12719+13453</f>
        <v>26172</v>
      </c>
      <c r="K235" s="63">
        <f t="shared" si="68"/>
        <v>714433</v>
      </c>
      <c r="L235" s="63">
        <f>723+1126</f>
        <v>1849</v>
      </c>
      <c r="M235" s="63">
        <f>2256+2663</f>
        <v>4919</v>
      </c>
      <c r="N235" s="63">
        <f>125+133</f>
        <v>258</v>
      </c>
      <c r="O235" s="63">
        <f t="shared" si="69"/>
        <v>7026</v>
      </c>
      <c r="R235" s="62">
        <f t="shared" si="70"/>
        <v>837299</v>
      </c>
      <c r="S235" s="62">
        <f t="shared" si="71"/>
        <v>0</v>
      </c>
      <c r="V235" s="62">
        <f t="shared" si="72"/>
        <v>220386</v>
      </c>
      <c r="W235" s="62">
        <f t="shared" si="66"/>
        <v>586240</v>
      </c>
      <c r="X235" s="62">
        <f t="shared" si="66"/>
        <v>30673</v>
      </c>
      <c r="Y235" s="62">
        <f t="shared" si="73"/>
        <v>837299</v>
      </c>
      <c r="Z235" s="62">
        <f t="shared" si="74"/>
        <v>0</v>
      </c>
      <c r="AC235" s="99"/>
      <c r="AD235" s="99"/>
      <c r="AE235" s="99"/>
      <c r="AF235" s="98"/>
      <c r="AH235" s="98"/>
    </row>
    <row r="236" spans="1:34" ht="25.5" customHeight="1" x14ac:dyDescent="0.25">
      <c r="A236" s="56" t="s">
        <v>18</v>
      </c>
      <c r="B236" s="54" t="s">
        <v>4</v>
      </c>
      <c r="C236" s="55">
        <f>306503+439897</f>
        <v>746400</v>
      </c>
      <c r="D236" s="55">
        <f>5944+8530</f>
        <v>14474</v>
      </c>
      <c r="E236" s="55">
        <f>10016+14375</f>
        <v>24391</v>
      </c>
      <c r="F236" s="55">
        <f>414+595</f>
        <v>1009</v>
      </c>
      <c r="G236" s="55">
        <f t="shared" si="67"/>
        <v>39874</v>
      </c>
      <c r="H236" s="63">
        <f>101838+146156</f>
        <v>247994</v>
      </c>
      <c r="I236" s="63">
        <f>171610+246302</f>
        <v>417912</v>
      </c>
      <c r="J236" s="63">
        <f>7097+10184</f>
        <v>17281</v>
      </c>
      <c r="K236" s="63">
        <f t="shared" si="68"/>
        <v>683187</v>
      </c>
      <c r="L236" s="63">
        <f>3479+4993</f>
        <v>8472</v>
      </c>
      <c r="M236" s="63">
        <f>5863+8414</f>
        <v>14277</v>
      </c>
      <c r="N236" s="63">
        <f>242+348</f>
        <v>590</v>
      </c>
      <c r="O236" s="63">
        <f t="shared" si="69"/>
        <v>23339</v>
      </c>
      <c r="R236" s="62">
        <f t="shared" si="70"/>
        <v>746400</v>
      </c>
      <c r="S236" s="62">
        <f t="shared" si="71"/>
        <v>0</v>
      </c>
      <c r="V236" s="62">
        <f t="shared" si="72"/>
        <v>270940</v>
      </c>
      <c r="W236" s="62">
        <f t="shared" si="66"/>
        <v>456580</v>
      </c>
      <c r="X236" s="62">
        <f t="shared" si="66"/>
        <v>18880</v>
      </c>
      <c r="Y236" s="62">
        <f t="shared" si="73"/>
        <v>746400</v>
      </c>
      <c r="Z236" s="62">
        <f t="shared" si="74"/>
        <v>0</v>
      </c>
      <c r="AC236" s="99"/>
      <c r="AD236" s="99"/>
      <c r="AE236" s="99"/>
      <c r="AF236" s="98"/>
      <c r="AH236" s="98"/>
    </row>
    <row r="237" spans="1:34" ht="25.5" customHeight="1" x14ac:dyDescent="0.25">
      <c r="A237" s="56" t="s">
        <v>25</v>
      </c>
      <c r="B237" s="54" t="s">
        <v>3</v>
      </c>
      <c r="C237" s="55">
        <f>677961+126225</f>
        <v>804186</v>
      </c>
      <c r="D237" s="55">
        <f>32495+6050</f>
        <v>38545</v>
      </c>
      <c r="E237" s="55">
        <f>15998+2978</f>
        <v>18976</v>
      </c>
      <c r="F237" s="55">
        <f>1500+280</f>
        <v>1780</v>
      </c>
      <c r="G237" s="55">
        <f t="shared" si="67"/>
        <v>59301</v>
      </c>
      <c r="H237" s="63">
        <f>363072+67597</f>
        <v>430669</v>
      </c>
      <c r="I237" s="63">
        <f>178743+33276</f>
        <v>212019</v>
      </c>
      <c r="J237" s="63">
        <f>16757+3124</f>
        <v>19881</v>
      </c>
      <c r="K237" s="63">
        <f t="shared" si="68"/>
        <v>662569</v>
      </c>
      <c r="L237" s="63">
        <f>45107+8398</f>
        <v>53505</v>
      </c>
      <c r="M237" s="63">
        <f>22207+4134</f>
        <v>26341</v>
      </c>
      <c r="N237" s="63">
        <f>2082+388</f>
        <v>2470</v>
      </c>
      <c r="O237" s="63">
        <f t="shared" si="69"/>
        <v>82316</v>
      </c>
      <c r="R237" s="62">
        <f t="shared" si="70"/>
        <v>804186</v>
      </c>
      <c r="S237" s="62">
        <f t="shared" si="71"/>
        <v>0</v>
      </c>
      <c r="V237" s="62">
        <f t="shared" si="72"/>
        <v>522719</v>
      </c>
      <c r="W237" s="62">
        <f t="shared" si="66"/>
        <v>257336</v>
      </c>
      <c r="X237" s="62">
        <f t="shared" si="66"/>
        <v>24131</v>
      </c>
      <c r="Y237" s="62">
        <f t="shared" si="73"/>
        <v>804186</v>
      </c>
      <c r="Z237" s="62">
        <f t="shared" si="74"/>
        <v>0</v>
      </c>
      <c r="AC237" s="99"/>
      <c r="AD237" s="99"/>
      <c r="AE237" s="99"/>
      <c r="AF237" s="98"/>
      <c r="AH237" s="98"/>
    </row>
    <row r="238" spans="1:34" ht="54" customHeight="1" x14ac:dyDescent="0.25">
      <c r="A238" s="56" t="s">
        <v>30</v>
      </c>
      <c r="B238" s="54" t="s">
        <v>2</v>
      </c>
      <c r="C238" s="55">
        <v>39742</v>
      </c>
      <c r="D238" s="55">
        <v>1125</v>
      </c>
      <c r="E238" s="55">
        <v>0</v>
      </c>
      <c r="F238" s="55">
        <v>0</v>
      </c>
      <c r="G238" s="55">
        <f t="shared" si="67"/>
        <v>1125</v>
      </c>
      <c r="H238" s="63">
        <v>33271</v>
      </c>
      <c r="I238" s="63">
        <v>0</v>
      </c>
      <c r="J238" s="63">
        <v>0</v>
      </c>
      <c r="K238" s="63">
        <f t="shared" si="68"/>
        <v>33271</v>
      </c>
      <c r="L238" s="63">
        <v>5346</v>
      </c>
      <c r="M238" s="63">
        <v>0</v>
      </c>
      <c r="N238" s="63">
        <v>0</v>
      </c>
      <c r="O238" s="63">
        <f t="shared" si="69"/>
        <v>5346</v>
      </c>
      <c r="R238" s="62">
        <f t="shared" si="70"/>
        <v>39742</v>
      </c>
      <c r="S238" s="62">
        <f t="shared" si="71"/>
        <v>0</v>
      </c>
      <c r="V238" s="62">
        <f t="shared" si="72"/>
        <v>39742</v>
      </c>
      <c r="W238" s="62">
        <f t="shared" si="66"/>
        <v>0</v>
      </c>
      <c r="X238" s="62">
        <f t="shared" si="66"/>
        <v>0</v>
      </c>
      <c r="Y238" s="62">
        <f t="shared" si="73"/>
        <v>39742</v>
      </c>
      <c r="Z238" s="62">
        <f t="shared" si="74"/>
        <v>0</v>
      </c>
    </row>
    <row r="239" spans="1:34" ht="39.75" customHeight="1" x14ac:dyDescent="0.25">
      <c r="A239" s="56" t="s">
        <v>31</v>
      </c>
      <c r="B239" s="54" t="s">
        <v>1</v>
      </c>
      <c r="C239" s="55">
        <v>35090</v>
      </c>
      <c r="D239" s="55">
        <v>2610</v>
      </c>
      <c r="E239" s="55">
        <v>0</v>
      </c>
      <c r="F239" s="55">
        <v>0</v>
      </c>
      <c r="G239" s="55">
        <f t="shared" si="67"/>
        <v>2610</v>
      </c>
      <c r="H239" s="63">
        <v>31064</v>
      </c>
      <c r="I239" s="63">
        <v>0</v>
      </c>
      <c r="J239" s="63">
        <v>0</v>
      </c>
      <c r="K239" s="63">
        <f t="shared" si="68"/>
        <v>31064</v>
      </c>
      <c r="L239" s="63">
        <v>1416</v>
      </c>
      <c r="M239" s="63">
        <v>0</v>
      </c>
      <c r="N239" s="63">
        <v>0</v>
      </c>
      <c r="O239" s="63">
        <f t="shared" si="69"/>
        <v>1416</v>
      </c>
      <c r="R239" s="62">
        <f t="shared" si="70"/>
        <v>35090</v>
      </c>
      <c r="S239" s="62">
        <f t="shared" si="71"/>
        <v>0</v>
      </c>
      <c r="V239" s="62">
        <f t="shared" si="72"/>
        <v>35090</v>
      </c>
      <c r="W239" s="62">
        <f t="shared" si="66"/>
        <v>0</v>
      </c>
      <c r="X239" s="62">
        <f t="shared" si="66"/>
        <v>0</v>
      </c>
      <c r="Y239" s="62">
        <f t="shared" si="73"/>
        <v>35090</v>
      </c>
      <c r="Z239" s="62">
        <f t="shared" si="74"/>
        <v>0</v>
      </c>
    </row>
    <row r="240" spans="1:34" ht="33" customHeight="1" x14ac:dyDescent="0.25">
      <c r="A240" s="56" t="s">
        <v>32</v>
      </c>
      <c r="B240" s="54" t="s">
        <v>73</v>
      </c>
      <c r="C240" s="55">
        <v>104184</v>
      </c>
      <c r="D240" s="55">
        <v>20492</v>
      </c>
      <c r="E240" s="55">
        <v>0</v>
      </c>
      <c r="F240" s="55">
        <v>0</v>
      </c>
      <c r="G240" s="55">
        <f t="shared" si="67"/>
        <v>20492</v>
      </c>
      <c r="H240" s="63">
        <v>67080</v>
      </c>
      <c r="I240" s="63">
        <v>0</v>
      </c>
      <c r="J240" s="63">
        <v>0</v>
      </c>
      <c r="K240" s="63">
        <f t="shared" si="68"/>
        <v>67080</v>
      </c>
      <c r="L240" s="63">
        <v>16612</v>
      </c>
      <c r="M240" s="63">
        <v>0</v>
      </c>
      <c r="N240" s="63">
        <v>0</v>
      </c>
      <c r="O240" s="63">
        <f t="shared" si="69"/>
        <v>16612</v>
      </c>
      <c r="R240" s="62">
        <f t="shared" si="70"/>
        <v>104184</v>
      </c>
      <c r="S240" s="62">
        <f t="shared" si="71"/>
        <v>0</v>
      </c>
      <c r="V240" s="62">
        <f t="shared" si="72"/>
        <v>104184</v>
      </c>
      <c r="W240" s="62">
        <f t="shared" si="66"/>
        <v>0</v>
      </c>
      <c r="X240" s="62">
        <f t="shared" si="66"/>
        <v>0</v>
      </c>
      <c r="Y240" s="62">
        <f t="shared" si="73"/>
        <v>104184</v>
      </c>
      <c r="Z240" s="62">
        <f t="shared" si="74"/>
        <v>0</v>
      </c>
    </row>
    <row r="241" spans="1:34" ht="33" customHeight="1" x14ac:dyDescent="0.25">
      <c r="A241" s="56" t="s">
        <v>90</v>
      </c>
      <c r="B241" s="70" t="s">
        <v>91</v>
      </c>
      <c r="C241" s="55">
        <f>E241+I241+M241</f>
        <v>61662</v>
      </c>
      <c r="D241" s="55">
        <v>0</v>
      </c>
      <c r="E241" s="55">
        <v>10436</v>
      </c>
      <c r="F241" s="55">
        <v>0</v>
      </c>
      <c r="G241" s="55">
        <f t="shared" si="67"/>
        <v>10436</v>
      </c>
      <c r="H241" s="63">
        <v>0</v>
      </c>
      <c r="I241" s="63">
        <v>34306</v>
      </c>
      <c r="J241" s="63">
        <v>0</v>
      </c>
      <c r="K241" s="63">
        <f t="shared" si="68"/>
        <v>34306</v>
      </c>
      <c r="L241" s="63">
        <v>0</v>
      </c>
      <c r="M241" s="63">
        <v>16920</v>
      </c>
      <c r="N241" s="63">
        <v>0</v>
      </c>
      <c r="O241" s="63">
        <f t="shared" si="69"/>
        <v>16920</v>
      </c>
      <c r="R241" s="62">
        <f t="shared" si="70"/>
        <v>61662</v>
      </c>
      <c r="S241" s="62">
        <f>R241-C241</f>
        <v>0</v>
      </c>
      <c r="V241" s="62">
        <f t="shared" si="72"/>
        <v>0</v>
      </c>
      <c r="W241" s="62">
        <f t="shared" si="66"/>
        <v>61662</v>
      </c>
      <c r="X241" s="62">
        <f t="shared" si="66"/>
        <v>0</v>
      </c>
      <c r="Y241" s="62">
        <f t="shared" si="73"/>
        <v>61662</v>
      </c>
      <c r="Z241" s="62">
        <f t="shared" si="74"/>
        <v>0</v>
      </c>
    </row>
    <row r="242" spans="1:34" ht="25.5" customHeight="1" x14ac:dyDescent="0.25">
      <c r="A242" s="57"/>
      <c r="B242" s="57" t="s">
        <v>0</v>
      </c>
      <c r="C242" s="58">
        <f>SUM(C224:C241)</f>
        <v>9738552</v>
      </c>
      <c r="D242" s="58">
        <f t="shared" ref="D242:O242" si="75">SUM(D224:D241)</f>
        <v>325868</v>
      </c>
      <c r="E242" s="58">
        <f t="shared" si="75"/>
        <v>644114</v>
      </c>
      <c r="F242" s="58">
        <f t="shared" si="75"/>
        <v>12377</v>
      </c>
      <c r="G242" s="58">
        <f t="shared" si="75"/>
        <v>982359</v>
      </c>
      <c r="H242" s="58">
        <f t="shared" si="75"/>
        <v>2590249</v>
      </c>
      <c r="I242" s="58">
        <f t="shared" si="75"/>
        <v>4858381</v>
      </c>
      <c r="J242" s="58">
        <f t="shared" si="75"/>
        <v>109472</v>
      </c>
      <c r="K242" s="58">
        <f t="shared" si="75"/>
        <v>7558102</v>
      </c>
      <c r="L242" s="58">
        <f t="shared" si="75"/>
        <v>364864</v>
      </c>
      <c r="M242" s="58">
        <f t="shared" si="75"/>
        <v>821185</v>
      </c>
      <c r="N242" s="58">
        <f t="shared" si="75"/>
        <v>12042</v>
      </c>
      <c r="O242" s="58">
        <f t="shared" si="75"/>
        <v>1198091</v>
      </c>
      <c r="R242" s="62">
        <f t="shared" si="70"/>
        <v>9738552</v>
      </c>
      <c r="S242" s="62">
        <f t="shared" si="71"/>
        <v>0</v>
      </c>
      <c r="V242" s="62">
        <f t="shared" si="72"/>
        <v>3280981</v>
      </c>
      <c r="W242" s="62">
        <f t="shared" si="66"/>
        <v>6323680</v>
      </c>
      <c r="X242" s="62">
        <f t="shared" si="66"/>
        <v>133891</v>
      </c>
      <c r="Y242" s="62">
        <f t="shared" si="73"/>
        <v>9738552</v>
      </c>
      <c r="Z242" s="62">
        <f t="shared" si="74"/>
        <v>0</v>
      </c>
    </row>
    <row r="243" spans="1:34" ht="25.5" customHeight="1" x14ac:dyDescent="0.25">
      <c r="A243" s="80"/>
      <c r="B243" s="80"/>
      <c r="C243" s="81"/>
      <c r="D243" s="81"/>
      <c r="E243" s="81"/>
      <c r="F243" s="81"/>
      <c r="G243" s="81"/>
      <c r="H243" s="81"/>
      <c r="I243" s="81"/>
      <c r="J243" s="81"/>
      <c r="K243" s="81"/>
      <c r="L243" s="81"/>
      <c r="M243" s="81"/>
      <c r="N243" s="81"/>
      <c r="O243" s="81"/>
      <c r="R243" s="62"/>
      <c r="S243" s="62"/>
    </row>
    <row r="244" spans="1:34" x14ac:dyDescent="0.25">
      <c r="A244" s="161" t="s">
        <v>94</v>
      </c>
      <c r="B244" s="161"/>
      <c r="C244" s="161"/>
      <c r="D244" s="161"/>
      <c r="E244" s="161"/>
      <c r="F244" s="161"/>
      <c r="G244" s="161"/>
      <c r="H244" s="161"/>
      <c r="I244" s="161"/>
      <c r="J244" s="161"/>
      <c r="K244" s="161"/>
      <c r="L244" s="161"/>
      <c r="M244" s="161"/>
      <c r="N244" s="161"/>
      <c r="O244" s="161"/>
    </row>
    <row r="245" spans="1:34" s="4" customFormat="1" ht="28.5" customHeight="1" x14ac:dyDescent="0.25">
      <c r="A245" s="152" t="s">
        <v>17</v>
      </c>
      <c r="B245" s="152" t="s">
        <v>33</v>
      </c>
      <c r="C245" s="152" t="s">
        <v>83</v>
      </c>
      <c r="D245" s="152" t="s">
        <v>69</v>
      </c>
      <c r="E245" s="152"/>
      <c r="F245" s="152"/>
      <c r="G245" s="152"/>
      <c r="H245" s="152"/>
      <c r="I245" s="152"/>
      <c r="J245" s="152"/>
      <c r="K245" s="152"/>
      <c r="L245" s="152"/>
      <c r="M245" s="152"/>
      <c r="N245" s="152"/>
      <c r="O245" s="152"/>
      <c r="R245" s="61"/>
      <c r="S245" s="61"/>
      <c r="V245" s="61"/>
      <c r="W245" s="61"/>
      <c r="X245" s="61"/>
      <c r="Y245" s="61"/>
      <c r="Z245" s="61"/>
      <c r="AC245" s="95"/>
      <c r="AD245" s="95"/>
      <c r="AE245" s="95"/>
      <c r="AF245" s="95"/>
      <c r="AG245" s="93"/>
      <c r="AH245" s="95"/>
    </row>
    <row r="246" spans="1:34" s="4" customFormat="1" ht="41.25" customHeight="1" x14ac:dyDescent="0.25">
      <c r="A246" s="152"/>
      <c r="B246" s="152"/>
      <c r="C246" s="152"/>
      <c r="D246" s="154" t="s">
        <v>36</v>
      </c>
      <c r="E246" s="154"/>
      <c r="F246" s="154"/>
      <c r="G246" s="154"/>
      <c r="H246" s="155" t="s">
        <v>37</v>
      </c>
      <c r="I246" s="156"/>
      <c r="J246" s="156"/>
      <c r="K246" s="157"/>
      <c r="L246" s="155" t="s">
        <v>38</v>
      </c>
      <c r="M246" s="156"/>
      <c r="N246" s="156"/>
      <c r="O246" s="157"/>
      <c r="R246" s="61"/>
      <c r="S246" s="61"/>
      <c r="V246" s="61"/>
      <c r="W246" s="61"/>
      <c r="X246" s="61"/>
      <c r="Y246" s="61"/>
      <c r="Z246" s="61"/>
      <c r="AC246" s="95"/>
      <c r="AD246" s="95"/>
      <c r="AE246" s="95"/>
      <c r="AF246" s="95"/>
      <c r="AG246" s="93"/>
      <c r="AH246" s="95"/>
    </row>
    <row r="247" spans="1:34" s="4" customFormat="1" ht="59.25" customHeight="1" x14ac:dyDescent="0.25">
      <c r="A247" s="152"/>
      <c r="B247" s="152"/>
      <c r="C247" s="152"/>
      <c r="D247" s="83" t="s">
        <v>66</v>
      </c>
      <c r="E247" s="83" t="s">
        <v>67</v>
      </c>
      <c r="F247" s="83" t="s">
        <v>68</v>
      </c>
      <c r="G247" s="83" t="s">
        <v>70</v>
      </c>
      <c r="H247" s="65" t="s">
        <v>66</v>
      </c>
      <c r="I247" s="65" t="s">
        <v>67</v>
      </c>
      <c r="J247" s="65" t="s">
        <v>68</v>
      </c>
      <c r="K247" s="65" t="s">
        <v>71</v>
      </c>
      <c r="L247" s="65" t="s">
        <v>66</v>
      </c>
      <c r="M247" s="65" t="s">
        <v>67</v>
      </c>
      <c r="N247" s="65" t="s">
        <v>68</v>
      </c>
      <c r="O247" s="65" t="s">
        <v>72</v>
      </c>
      <c r="R247" s="61"/>
      <c r="S247" s="61"/>
      <c r="V247" s="61" t="s">
        <v>44</v>
      </c>
      <c r="W247" s="61" t="s">
        <v>96</v>
      </c>
      <c r="X247" s="61" t="s">
        <v>97</v>
      </c>
      <c r="Y247" s="61"/>
      <c r="Z247" s="61"/>
      <c r="AC247" s="95"/>
      <c r="AD247" s="95"/>
      <c r="AE247" s="95"/>
      <c r="AF247" s="95"/>
      <c r="AG247" s="93"/>
      <c r="AH247" s="95"/>
    </row>
    <row r="248" spans="1:34" s="3" customFormat="1" ht="14.25" customHeight="1" x14ac:dyDescent="0.25">
      <c r="A248" s="53">
        <v>1</v>
      </c>
      <c r="B248" s="53">
        <v>2</v>
      </c>
      <c r="C248" s="53">
        <v>3</v>
      </c>
      <c r="D248" s="53">
        <v>4</v>
      </c>
      <c r="E248" s="53">
        <v>5</v>
      </c>
      <c r="F248" s="53">
        <v>6</v>
      </c>
      <c r="G248" s="53">
        <v>7</v>
      </c>
      <c r="H248" s="66">
        <v>8</v>
      </c>
      <c r="I248" s="66">
        <v>9</v>
      </c>
      <c r="J248" s="66">
        <v>10</v>
      </c>
      <c r="K248" s="66">
        <v>11</v>
      </c>
      <c r="L248" s="66">
        <v>12</v>
      </c>
      <c r="M248" s="66">
        <v>13</v>
      </c>
      <c r="N248" s="66">
        <v>14</v>
      </c>
      <c r="O248" s="66">
        <v>15</v>
      </c>
      <c r="R248" s="61"/>
      <c r="S248" s="61"/>
      <c r="V248" s="61"/>
      <c r="W248" s="61"/>
      <c r="X248" s="61"/>
      <c r="Y248" s="61"/>
      <c r="Z248" s="61"/>
      <c r="AC248" s="95"/>
      <c r="AD248" s="95"/>
      <c r="AE248" s="95"/>
      <c r="AF248" s="95"/>
      <c r="AG248" s="94"/>
      <c r="AH248" s="95"/>
    </row>
    <row r="249" spans="1:34" s="3" customFormat="1" ht="25.5" customHeight="1" x14ac:dyDescent="0.25">
      <c r="A249" s="53" t="s">
        <v>16</v>
      </c>
      <c r="B249" s="54" t="s">
        <v>15</v>
      </c>
      <c r="C249" s="55">
        <f>2129231+285489</f>
        <v>2414720</v>
      </c>
      <c r="D249" s="55">
        <f>70133+9395</f>
        <v>79528</v>
      </c>
      <c r="E249" s="55">
        <f>262091+35150</f>
        <v>297241</v>
      </c>
      <c r="F249" s="55">
        <v>0</v>
      </c>
      <c r="G249" s="55">
        <f>D249+E249+F249</f>
        <v>376769</v>
      </c>
      <c r="H249" s="63">
        <f>295722+39614</f>
        <v>335336</v>
      </c>
      <c r="I249" s="63">
        <f>1105141+148215</f>
        <v>1253356</v>
      </c>
      <c r="J249" s="63">
        <v>0</v>
      </c>
      <c r="K249" s="63">
        <f>H249+I249+J249</f>
        <v>1588692</v>
      </c>
      <c r="L249" s="63">
        <f>83626+11202</f>
        <v>94828</v>
      </c>
      <c r="M249" s="63">
        <f>312518+41913</f>
        <v>354431</v>
      </c>
      <c r="N249" s="63">
        <v>0</v>
      </c>
      <c r="O249" s="63">
        <f>L249+M249+N249</f>
        <v>449259</v>
      </c>
      <c r="R249" s="62">
        <f>G249+K249+O249</f>
        <v>2414720</v>
      </c>
      <c r="S249" s="62">
        <f>R249-C249</f>
        <v>0</v>
      </c>
      <c r="V249" s="62">
        <f>D249+H249+L249</f>
        <v>509692</v>
      </c>
      <c r="W249" s="62">
        <f t="shared" ref="W249:X267" si="76">E249+I249+M249</f>
        <v>1905028</v>
      </c>
      <c r="X249" s="62">
        <f t="shared" si="76"/>
        <v>0</v>
      </c>
      <c r="Y249" s="62">
        <f>V249+W249+X249</f>
        <v>2414720</v>
      </c>
      <c r="Z249" s="62">
        <f>Y249-C249</f>
        <v>0</v>
      </c>
      <c r="AC249" s="99"/>
      <c r="AD249" s="99"/>
      <c r="AE249" s="99"/>
      <c r="AF249" s="98"/>
      <c r="AG249" s="92"/>
      <c r="AH249" s="98"/>
    </row>
    <row r="250" spans="1:34" ht="40.5" customHeight="1" x14ac:dyDescent="0.25">
      <c r="A250" s="56" t="s">
        <v>24</v>
      </c>
      <c r="B250" s="54" t="s">
        <v>14</v>
      </c>
      <c r="C250" s="55">
        <v>271373</v>
      </c>
      <c r="D250" s="55">
        <v>28539</v>
      </c>
      <c r="E250" s="55">
        <v>26840</v>
      </c>
      <c r="F250" s="55">
        <v>855</v>
      </c>
      <c r="G250" s="55">
        <f t="shared" ref="G250:G266" si="77">D250+E250+F250</f>
        <v>56234</v>
      </c>
      <c r="H250" s="63">
        <v>83870</v>
      </c>
      <c r="I250" s="63">
        <v>78879</v>
      </c>
      <c r="J250" s="63">
        <v>2512</v>
      </c>
      <c r="K250" s="63">
        <f t="shared" ref="K250:K266" si="78">H250+I250+J250</f>
        <v>165261</v>
      </c>
      <c r="L250" s="63">
        <v>25313</v>
      </c>
      <c r="M250" s="63">
        <v>23807</v>
      </c>
      <c r="N250" s="63">
        <v>758</v>
      </c>
      <c r="O250" s="63">
        <f t="shared" ref="O250:O266" si="79">L250+M250+N250</f>
        <v>49878</v>
      </c>
      <c r="R250" s="62">
        <f t="shared" ref="R250:R267" si="80">G250+K250+O250</f>
        <v>271373</v>
      </c>
      <c r="S250" s="62">
        <f t="shared" ref="S250:S267" si="81">R250-C250</f>
        <v>0</v>
      </c>
      <c r="V250" s="62">
        <f t="shared" ref="V250:V267" si="82">D250+H250+L250</f>
        <v>137722</v>
      </c>
      <c r="W250" s="62">
        <f t="shared" si="76"/>
        <v>129526</v>
      </c>
      <c r="X250" s="62">
        <f t="shared" si="76"/>
        <v>4125</v>
      </c>
      <c r="Y250" s="62">
        <f t="shared" ref="Y250:Y267" si="83">V250+W250+X250</f>
        <v>271373</v>
      </c>
      <c r="Z250" s="62">
        <f t="shared" ref="Z250:Z267" si="84">Y250-C250</f>
        <v>0</v>
      </c>
      <c r="AC250" s="99"/>
      <c r="AF250" s="98"/>
      <c r="AH250" s="98"/>
    </row>
    <row r="251" spans="1:34" ht="34.5" customHeight="1" x14ac:dyDescent="0.25">
      <c r="A251" s="56" t="s">
        <v>24</v>
      </c>
      <c r="B251" s="54" t="s">
        <v>13</v>
      </c>
      <c r="C251" s="55">
        <f>667382+23221</f>
        <v>690603</v>
      </c>
      <c r="D251" s="55">
        <v>0</v>
      </c>
      <c r="E251" s="55">
        <f>37827+1316</f>
        <v>39143</v>
      </c>
      <c r="F251" s="55">
        <v>0</v>
      </c>
      <c r="G251" s="55">
        <f t="shared" si="77"/>
        <v>39143</v>
      </c>
      <c r="H251" s="63">
        <v>0</v>
      </c>
      <c r="I251" s="63">
        <f>560701+19509</f>
        <v>580210</v>
      </c>
      <c r="J251" s="63">
        <v>0</v>
      </c>
      <c r="K251" s="63">
        <f t="shared" si="78"/>
        <v>580210</v>
      </c>
      <c r="L251" s="63">
        <v>0</v>
      </c>
      <c r="M251" s="63">
        <f>68854+2396</f>
        <v>71250</v>
      </c>
      <c r="N251" s="63">
        <v>0</v>
      </c>
      <c r="O251" s="63">
        <f t="shared" si="79"/>
        <v>71250</v>
      </c>
      <c r="R251" s="62">
        <f t="shared" si="80"/>
        <v>690603</v>
      </c>
      <c r="S251" s="62">
        <f t="shared" si="81"/>
        <v>0</v>
      </c>
      <c r="V251" s="62">
        <f t="shared" si="82"/>
        <v>0</v>
      </c>
      <c r="W251" s="62">
        <f t="shared" si="76"/>
        <v>690603</v>
      </c>
      <c r="X251" s="62">
        <f t="shared" si="76"/>
        <v>0</v>
      </c>
      <c r="Y251" s="62">
        <f t="shared" si="83"/>
        <v>690603</v>
      </c>
      <c r="Z251" s="62">
        <f t="shared" si="84"/>
        <v>0</v>
      </c>
      <c r="AC251" s="99"/>
      <c r="AD251" s="99"/>
      <c r="AE251" s="99"/>
      <c r="AF251" s="98"/>
      <c r="AH251" s="98"/>
    </row>
    <row r="252" spans="1:34" ht="40.5" customHeight="1" x14ac:dyDescent="0.25">
      <c r="A252" s="56" t="s">
        <v>22</v>
      </c>
      <c r="B252" s="54" t="s">
        <v>12</v>
      </c>
      <c r="C252" s="55">
        <v>150289</v>
      </c>
      <c r="D252" s="55">
        <v>17288</v>
      </c>
      <c r="E252" s="55">
        <v>0</v>
      </c>
      <c r="F252" s="55">
        <v>0</v>
      </c>
      <c r="G252" s="55">
        <f t="shared" si="77"/>
        <v>17288</v>
      </c>
      <c r="H252" s="63">
        <v>112434</v>
      </c>
      <c r="I252" s="63">
        <v>0</v>
      </c>
      <c r="J252" s="63">
        <v>0</v>
      </c>
      <c r="K252" s="63">
        <f t="shared" si="78"/>
        <v>112434</v>
      </c>
      <c r="L252" s="63">
        <v>20567</v>
      </c>
      <c r="M252" s="63">
        <v>0</v>
      </c>
      <c r="N252" s="63">
        <v>0</v>
      </c>
      <c r="O252" s="63">
        <f t="shared" si="79"/>
        <v>20567</v>
      </c>
      <c r="R252" s="62">
        <f t="shared" si="80"/>
        <v>150289</v>
      </c>
      <c r="S252" s="62">
        <f t="shared" si="81"/>
        <v>0</v>
      </c>
      <c r="V252" s="62">
        <f t="shared" si="82"/>
        <v>150289</v>
      </c>
      <c r="W252" s="62">
        <f t="shared" si="76"/>
        <v>0</v>
      </c>
      <c r="X252" s="62">
        <f t="shared" si="76"/>
        <v>0</v>
      </c>
      <c r="Y252" s="62">
        <f t="shared" si="83"/>
        <v>150289</v>
      </c>
      <c r="Z252" s="62">
        <f t="shared" si="84"/>
        <v>0</v>
      </c>
      <c r="AC252" s="99"/>
      <c r="AF252" s="98"/>
      <c r="AH252" s="98"/>
    </row>
    <row r="253" spans="1:34" ht="39.75" customHeight="1" x14ac:dyDescent="0.25">
      <c r="A253" s="56" t="s">
        <v>23</v>
      </c>
      <c r="B253" s="54" t="s">
        <v>11</v>
      </c>
      <c r="C253" s="55">
        <f>110352+29096</f>
        <v>139448</v>
      </c>
      <c r="D253" s="55">
        <f>4333+1142</f>
        <v>5475</v>
      </c>
      <c r="E253" s="55">
        <f>6814+1796</f>
        <v>8610</v>
      </c>
      <c r="F253" s="55">
        <f>2961+781</f>
        <v>3742</v>
      </c>
      <c r="G253" s="55">
        <f t="shared" si="77"/>
        <v>17827</v>
      </c>
      <c r="H253" s="63">
        <f>22984+6060</f>
        <v>29044</v>
      </c>
      <c r="I253" s="63">
        <f>36149+9530</f>
        <v>45679</v>
      </c>
      <c r="J253" s="63">
        <f>15709+4143</f>
        <v>19852</v>
      </c>
      <c r="K253" s="63">
        <f t="shared" si="78"/>
        <v>94575</v>
      </c>
      <c r="L253" s="63">
        <f>6573+1733</f>
        <v>8306</v>
      </c>
      <c r="M253" s="63">
        <f>10337+2725</f>
        <v>13062</v>
      </c>
      <c r="N253" s="63">
        <f>4492+1186</f>
        <v>5678</v>
      </c>
      <c r="O253" s="63">
        <f t="shared" si="79"/>
        <v>27046</v>
      </c>
      <c r="R253" s="62">
        <f>G253+K253+O253</f>
        <v>139448</v>
      </c>
      <c r="S253" s="62">
        <f>R253-C253</f>
        <v>0</v>
      </c>
      <c r="V253" s="62">
        <f>D253+H253+L253</f>
        <v>42825</v>
      </c>
      <c r="W253" s="62">
        <f t="shared" si="76"/>
        <v>67351</v>
      </c>
      <c r="X253" s="62">
        <f t="shared" si="76"/>
        <v>29272</v>
      </c>
      <c r="Y253" s="62">
        <f t="shared" si="83"/>
        <v>139448</v>
      </c>
      <c r="Z253" s="62">
        <f t="shared" si="84"/>
        <v>0</v>
      </c>
      <c r="AC253" s="99"/>
      <c r="AD253" s="99"/>
      <c r="AE253" s="99"/>
      <c r="AF253" s="98"/>
      <c r="AH253" s="98"/>
    </row>
    <row r="254" spans="1:34" ht="28.5" customHeight="1" x14ac:dyDescent="0.25">
      <c r="A254" s="56" t="s">
        <v>20</v>
      </c>
      <c r="B254" s="54" t="s">
        <v>34</v>
      </c>
      <c r="C254" s="55">
        <v>206367</v>
      </c>
      <c r="D254" s="55">
        <v>38628</v>
      </c>
      <c r="E254" s="55">
        <v>0</v>
      </c>
      <c r="F254" s="55">
        <v>0</v>
      </c>
      <c r="G254" s="55">
        <f t="shared" si="77"/>
        <v>38628</v>
      </c>
      <c r="H254" s="63">
        <v>126084</v>
      </c>
      <c r="I254" s="63">
        <v>0</v>
      </c>
      <c r="J254" s="63">
        <v>0</v>
      </c>
      <c r="K254" s="63">
        <f t="shared" si="78"/>
        <v>126084</v>
      </c>
      <c r="L254" s="63">
        <v>41655</v>
      </c>
      <c r="M254" s="63">
        <v>0</v>
      </c>
      <c r="N254" s="63">
        <v>0</v>
      </c>
      <c r="O254" s="63">
        <f t="shared" si="79"/>
        <v>41655</v>
      </c>
      <c r="R254" s="62">
        <f t="shared" si="80"/>
        <v>206367</v>
      </c>
      <c r="S254" s="62">
        <f t="shared" si="81"/>
        <v>0</v>
      </c>
      <c r="V254" s="62">
        <f t="shared" si="82"/>
        <v>206367</v>
      </c>
      <c r="W254" s="62">
        <f t="shared" si="76"/>
        <v>0</v>
      </c>
      <c r="X254" s="62">
        <f t="shared" si="76"/>
        <v>0</v>
      </c>
      <c r="Y254" s="62">
        <f t="shared" si="83"/>
        <v>206367</v>
      </c>
      <c r="Z254" s="62">
        <f t="shared" si="84"/>
        <v>0</v>
      </c>
      <c r="AC254" s="99"/>
      <c r="AF254" s="98"/>
      <c r="AH254" s="98"/>
    </row>
    <row r="255" spans="1:34" ht="34.5" customHeight="1" x14ac:dyDescent="0.25">
      <c r="A255" s="56" t="s">
        <v>22</v>
      </c>
      <c r="B255" s="54" t="s">
        <v>10</v>
      </c>
      <c r="C255" s="55">
        <f>702982+4842</f>
        <v>707824</v>
      </c>
      <c r="D255" s="55">
        <f>15273+105</f>
        <v>15378</v>
      </c>
      <c r="E255" s="55">
        <f>19976+138</f>
        <v>20114</v>
      </c>
      <c r="F255" s="55">
        <f>934+6</f>
        <v>940</v>
      </c>
      <c r="G255" s="55">
        <f t="shared" si="77"/>
        <v>36432</v>
      </c>
      <c r="H255" s="63">
        <f>237537+1636</f>
        <v>239173</v>
      </c>
      <c r="I255" s="63">
        <f>310695+2140</f>
        <v>312835</v>
      </c>
      <c r="J255" s="63">
        <f>14519+100</f>
        <v>14619</v>
      </c>
      <c r="K255" s="63">
        <f t="shared" si="78"/>
        <v>566627</v>
      </c>
      <c r="L255" s="63">
        <f>43918+303</f>
        <v>44221</v>
      </c>
      <c r="M255" s="63">
        <f>57445+396</f>
        <v>57841</v>
      </c>
      <c r="N255" s="63">
        <f>2685+18</f>
        <v>2703</v>
      </c>
      <c r="O255" s="63">
        <f t="shared" si="79"/>
        <v>104765</v>
      </c>
      <c r="R255" s="62">
        <f t="shared" si="80"/>
        <v>707824</v>
      </c>
      <c r="S255" s="62">
        <f t="shared" si="81"/>
        <v>0</v>
      </c>
      <c r="V255" s="62">
        <f t="shared" si="82"/>
        <v>298772</v>
      </c>
      <c r="W255" s="62">
        <f t="shared" si="76"/>
        <v>390790</v>
      </c>
      <c r="X255" s="62">
        <f t="shared" si="76"/>
        <v>18262</v>
      </c>
      <c r="Y255" s="62">
        <f t="shared" si="83"/>
        <v>707824</v>
      </c>
      <c r="Z255" s="62">
        <f t="shared" si="84"/>
        <v>0</v>
      </c>
      <c r="AC255" s="99"/>
      <c r="AD255" s="99"/>
      <c r="AE255" s="99"/>
      <c r="AF255" s="98"/>
      <c r="AH255" s="98"/>
    </row>
    <row r="256" spans="1:34" ht="25.5" customHeight="1" x14ac:dyDescent="0.25">
      <c r="A256" s="56" t="s">
        <v>21</v>
      </c>
      <c r="B256" s="54" t="s">
        <v>9</v>
      </c>
      <c r="C256" s="55">
        <f>329197+157060</f>
        <v>486257</v>
      </c>
      <c r="D256" s="55">
        <f>19370+9604</f>
        <v>28974</v>
      </c>
      <c r="E256" s="55">
        <f>59920+28226</f>
        <v>88146</v>
      </c>
      <c r="F256" s="55">
        <v>0</v>
      </c>
      <c r="G256" s="55">
        <f t="shared" si="77"/>
        <v>117120</v>
      </c>
      <c r="H256" s="63">
        <f>60526+30008</f>
        <v>90534</v>
      </c>
      <c r="I256" s="63">
        <f>187228+88195</f>
        <v>275423</v>
      </c>
      <c r="J256" s="63">
        <v>0</v>
      </c>
      <c r="K256" s="63">
        <f t="shared" si="78"/>
        <v>365957</v>
      </c>
      <c r="L256" s="63">
        <f>526+261</f>
        <v>787</v>
      </c>
      <c r="M256" s="63">
        <f>1627+766</f>
        <v>2393</v>
      </c>
      <c r="N256" s="63">
        <v>0</v>
      </c>
      <c r="O256" s="63">
        <f t="shared" si="79"/>
        <v>3180</v>
      </c>
      <c r="R256" s="62">
        <f t="shared" si="80"/>
        <v>486257</v>
      </c>
      <c r="S256" s="62">
        <f t="shared" si="81"/>
        <v>0</v>
      </c>
      <c r="V256" s="62">
        <f t="shared" si="82"/>
        <v>120295</v>
      </c>
      <c r="W256" s="62">
        <f t="shared" si="76"/>
        <v>365962</v>
      </c>
      <c r="X256" s="62">
        <f t="shared" si="76"/>
        <v>0</v>
      </c>
      <c r="Y256" s="62">
        <f t="shared" si="83"/>
        <v>486257</v>
      </c>
      <c r="Z256" s="62">
        <f t="shared" si="84"/>
        <v>0</v>
      </c>
      <c r="AC256" s="99"/>
      <c r="AD256" s="99"/>
      <c r="AE256" s="99"/>
      <c r="AF256" s="98"/>
      <c r="AH256" s="98"/>
    </row>
    <row r="257" spans="1:34" ht="25.5" customHeight="1" x14ac:dyDescent="0.25">
      <c r="A257" s="56" t="s">
        <v>25</v>
      </c>
      <c r="B257" s="54" t="s">
        <v>8</v>
      </c>
      <c r="C257" s="55">
        <v>606623</v>
      </c>
      <c r="D257" s="55">
        <v>5133</v>
      </c>
      <c r="E257" s="55">
        <v>18829</v>
      </c>
      <c r="F257" s="55">
        <v>0</v>
      </c>
      <c r="G257" s="55">
        <f t="shared" si="77"/>
        <v>23962</v>
      </c>
      <c r="H257" s="63">
        <v>83301</v>
      </c>
      <c r="I257" s="63">
        <v>305593</v>
      </c>
      <c r="J257" s="63">
        <v>0</v>
      </c>
      <c r="K257" s="63">
        <f t="shared" si="78"/>
        <v>388894</v>
      </c>
      <c r="L257" s="63">
        <v>41505</v>
      </c>
      <c r="M257" s="63">
        <v>152262</v>
      </c>
      <c r="N257" s="63">
        <v>0</v>
      </c>
      <c r="O257" s="63">
        <f t="shared" si="79"/>
        <v>193767</v>
      </c>
      <c r="R257" s="62">
        <f t="shared" si="80"/>
        <v>606623</v>
      </c>
      <c r="S257" s="62">
        <f t="shared" si="81"/>
        <v>0</v>
      </c>
      <c r="V257" s="62">
        <f t="shared" si="82"/>
        <v>129939</v>
      </c>
      <c r="W257" s="62">
        <f t="shared" si="76"/>
        <v>476684</v>
      </c>
      <c r="X257" s="62">
        <f t="shared" si="76"/>
        <v>0</v>
      </c>
      <c r="Y257" s="62">
        <f t="shared" si="83"/>
        <v>606623</v>
      </c>
      <c r="Z257" s="62">
        <f t="shared" si="84"/>
        <v>0</v>
      </c>
      <c r="AC257" s="99"/>
      <c r="AF257" s="98"/>
      <c r="AH257" s="98"/>
    </row>
    <row r="258" spans="1:34" ht="25.5" customHeight="1" x14ac:dyDescent="0.25">
      <c r="A258" s="56" t="s">
        <v>26</v>
      </c>
      <c r="B258" s="54" t="s">
        <v>7</v>
      </c>
      <c r="C258" s="55">
        <v>588115</v>
      </c>
      <c r="D258" s="55">
        <v>1601</v>
      </c>
      <c r="E258" s="55">
        <v>9144</v>
      </c>
      <c r="F258" s="55">
        <v>0</v>
      </c>
      <c r="G258" s="55">
        <f t="shared" si="77"/>
        <v>10745</v>
      </c>
      <c r="H258" s="63">
        <v>78216</v>
      </c>
      <c r="I258" s="63">
        <v>446724</v>
      </c>
      <c r="J258" s="63">
        <v>0</v>
      </c>
      <c r="K258" s="63">
        <f t="shared" si="78"/>
        <v>524940</v>
      </c>
      <c r="L258" s="63">
        <v>7812</v>
      </c>
      <c r="M258" s="63">
        <v>44618</v>
      </c>
      <c r="N258" s="63">
        <v>0</v>
      </c>
      <c r="O258" s="63">
        <f t="shared" si="79"/>
        <v>52430</v>
      </c>
      <c r="R258" s="62">
        <f t="shared" si="80"/>
        <v>588115</v>
      </c>
      <c r="S258" s="62">
        <f t="shared" si="81"/>
        <v>0</v>
      </c>
      <c r="V258" s="62">
        <f t="shared" si="82"/>
        <v>87629</v>
      </c>
      <c r="W258" s="62">
        <f t="shared" si="76"/>
        <v>500486</v>
      </c>
      <c r="X258" s="62">
        <f t="shared" si="76"/>
        <v>0</v>
      </c>
      <c r="Y258" s="62">
        <f t="shared" si="83"/>
        <v>588115</v>
      </c>
      <c r="Z258" s="62">
        <f t="shared" si="84"/>
        <v>0</v>
      </c>
      <c r="AC258" s="99"/>
      <c r="AF258" s="98"/>
      <c r="AH258" s="98"/>
    </row>
    <row r="259" spans="1:34" ht="25.5" customHeight="1" x14ac:dyDescent="0.25">
      <c r="A259" s="56" t="s">
        <v>20</v>
      </c>
      <c r="B259" s="54" t="s">
        <v>6</v>
      </c>
      <c r="C259" s="55">
        <f>'Расх по МО с 01.07.13'!C259</f>
        <v>1197846</v>
      </c>
      <c r="D259" s="55">
        <f>'Расх по МО с 01.07.13'!D259</f>
        <v>4641</v>
      </c>
      <c r="E259" s="55">
        <f>'Расх по МО с 01.07.13'!E259</f>
        <v>3623</v>
      </c>
      <c r="F259" s="55">
        <f>'Расх по МО с 01.07.13'!F259</f>
        <v>85</v>
      </c>
      <c r="G259" s="55">
        <f>'Расх по МО с 01.07.13'!G259</f>
        <v>8349</v>
      </c>
      <c r="H259" s="55">
        <f>'Расх по МО с 01.07.13'!H259</f>
        <v>660281</v>
      </c>
      <c r="I259" s="55">
        <f>'Расх по МО с 01.07.13'!I259</f>
        <v>515449</v>
      </c>
      <c r="J259" s="55">
        <f>'Расх по МО с 01.07.13'!J259</f>
        <v>11970</v>
      </c>
      <c r="K259" s="55">
        <f>'Расх по МО с 01.07.13'!K259</f>
        <v>1187700</v>
      </c>
      <c r="L259" s="55">
        <f>'Расх по МО с 01.07.13'!L259</f>
        <v>999</v>
      </c>
      <c r="M259" s="55">
        <f>'Расх по МО с 01.07.13'!M259</f>
        <v>780</v>
      </c>
      <c r="N259" s="55">
        <f>'Расх по МО с 01.07.13'!N259</f>
        <v>18</v>
      </c>
      <c r="O259" s="55">
        <f>'Расх по МО с 01.07.13'!O259</f>
        <v>1797</v>
      </c>
      <c r="R259" s="62">
        <f t="shared" si="80"/>
        <v>1197846</v>
      </c>
      <c r="S259" s="62">
        <f t="shared" si="81"/>
        <v>0</v>
      </c>
      <c r="V259" s="62">
        <f t="shared" si="82"/>
        <v>665921</v>
      </c>
      <c r="W259" s="62">
        <f t="shared" si="76"/>
        <v>519852</v>
      </c>
      <c r="X259" s="62">
        <f t="shared" si="76"/>
        <v>12073</v>
      </c>
      <c r="Y259" s="62">
        <f t="shared" si="83"/>
        <v>1197846</v>
      </c>
      <c r="Z259" s="62">
        <f t="shared" si="84"/>
        <v>0</v>
      </c>
      <c r="AC259" s="99"/>
      <c r="AD259" s="99"/>
      <c r="AE259" s="99"/>
      <c r="AF259" s="98"/>
      <c r="AH259" s="98"/>
    </row>
    <row r="260" spans="1:34" ht="25.5" customHeight="1" x14ac:dyDescent="0.25">
      <c r="A260" s="56" t="s">
        <v>19</v>
      </c>
      <c r="B260" s="54" t="s">
        <v>5</v>
      </c>
      <c r="C260" s="55">
        <f>576190+737474</f>
        <v>1313664</v>
      </c>
      <c r="D260" s="55">
        <f>22049+34312</f>
        <v>56361</v>
      </c>
      <c r="E260" s="55">
        <f>54837+64726</f>
        <v>119563</v>
      </c>
      <c r="F260" s="55">
        <f>2830+2992</f>
        <v>5822</v>
      </c>
      <c r="G260" s="55">
        <f t="shared" si="77"/>
        <v>181746</v>
      </c>
      <c r="H260" s="63">
        <f>135988+211615</f>
        <v>347603</v>
      </c>
      <c r="I260" s="63">
        <f>338199+399189</f>
        <v>737388</v>
      </c>
      <c r="J260" s="63">
        <f>17453+18452</f>
        <v>35905</v>
      </c>
      <c r="K260" s="63">
        <f t="shared" si="78"/>
        <v>1120896</v>
      </c>
      <c r="L260" s="63">
        <f>1337+2081</f>
        <v>3418</v>
      </c>
      <c r="M260" s="63">
        <f>3325+3925</f>
        <v>7250</v>
      </c>
      <c r="N260" s="63">
        <f>172+182</f>
        <v>354</v>
      </c>
      <c r="O260" s="63">
        <f t="shared" si="79"/>
        <v>11022</v>
      </c>
      <c r="R260" s="62">
        <f t="shared" si="80"/>
        <v>1313664</v>
      </c>
      <c r="S260" s="62">
        <f t="shared" si="81"/>
        <v>0</v>
      </c>
      <c r="V260" s="62">
        <f t="shared" si="82"/>
        <v>407382</v>
      </c>
      <c r="W260" s="62">
        <f t="shared" si="76"/>
        <v>864201</v>
      </c>
      <c r="X260" s="62">
        <f t="shared" si="76"/>
        <v>42081</v>
      </c>
      <c r="Y260" s="62">
        <f t="shared" si="83"/>
        <v>1313664</v>
      </c>
      <c r="Z260" s="62">
        <f t="shared" si="84"/>
        <v>0</v>
      </c>
      <c r="AC260" s="99"/>
      <c r="AD260" s="99"/>
      <c r="AE260" s="99"/>
      <c r="AF260" s="98"/>
      <c r="AH260" s="98"/>
    </row>
    <row r="261" spans="1:34" ht="25.5" customHeight="1" x14ac:dyDescent="0.25">
      <c r="A261" s="56" t="s">
        <v>18</v>
      </c>
      <c r="B261" s="54" t="s">
        <v>4</v>
      </c>
      <c r="C261" s="55">
        <f>317154+455492</f>
        <v>772646</v>
      </c>
      <c r="D261" s="55">
        <f>6150+8833</f>
        <v>14983</v>
      </c>
      <c r="E261" s="55">
        <f>10364+14884</f>
        <v>25248</v>
      </c>
      <c r="F261" s="55">
        <f>429+615</f>
        <v>1044</v>
      </c>
      <c r="G261" s="55">
        <f t="shared" si="77"/>
        <v>41275</v>
      </c>
      <c r="H261" s="63">
        <f>105377+151338</f>
        <v>256715</v>
      </c>
      <c r="I261" s="63">
        <f>177573+255035</f>
        <v>432608</v>
      </c>
      <c r="J261" s="63">
        <f>7344+10544</f>
        <v>17888</v>
      </c>
      <c r="K261" s="63">
        <f t="shared" si="78"/>
        <v>707211</v>
      </c>
      <c r="L261" s="63">
        <f>3600+5170</f>
        <v>8770</v>
      </c>
      <c r="M261" s="63">
        <f>6066+8713</f>
        <v>14779</v>
      </c>
      <c r="N261" s="63">
        <f>251+360</f>
        <v>611</v>
      </c>
      <c r="O261" s="63">
        <f t="shared" si="79"/>
        <v>24160</v>
      </c>
      <c r="R261" s="62">
        <f t="shared" si="80"/>
        <v>772646</v>
      </c>
      <c r="S261" s="62">
        <f t="shared" si="81"/>
        <v>0</v>
      </c>
      <c r="V261" s="62">
        <f t="shared" si="82"/>
        <v>280468</v>
      </c>
      <c r="W261" s="62">
        <f t="shared" si="76"/>
        <v>472635</v>
      </c>
      <c r="X261" s="62">
        <f t="shared" si="76"/>
        <v>19543</v>
      </c>
      <c r="Y261" s="62">
        <f t="shared" si="83"/>
        <v>772646</v>
      </c>
      <c r="Z261" s="62">
        <f t="shared" si="84"/>
        <v>0</v>
      </c>
      <c r="AC261" s="99"/>
      <c r="AD261" s="99"/>
      <c r="AE261" s="99"/>
      <c r="AF261" s="98"/>
      <c r="AH261" s="98"/>
    </row>
    <row r="262" spans="1:34" ht="25.5" customHeight="1" x14ac:dyDescent="0.25">
      <c r="A262" s="56" t="s">
        <v>25</v>
      </c>
      <c r="B262" s="54" t="s">
        <v>3</v>
      </c>
      <c r="C262" s="55">
        <f>677961+126227</f>
        <v>804188</v>
      </c>
      <c r="D262" s="55">
        <f>32495+6050</f>
        <v>38545</v>
      </c>
      <c r="E262" s="55">
        <f>15998+2978</f>
        <v>18976</v>
      </c>
      <c r="F262" s="55">
        <f>1500+280</f>
        <v>1780</v>
      </c>
      <c r="G262" s="55">
        <f t="shared" si="77"/>
        <v>59301</v>
      </c>
      <c r="H262" s="63">
        <f>363072+67598</f>
        <v>430670</v>
      </c>
      <c r="I262" s="63">
        <f>178743+33277</f>
        <v>212020</v>
      </c>
      <c r="J262" s="63">
        <f>16757+3124</f>
        <v>19881</v>
      </c>
      <c r="K262" s="63">
        <f t="shared" si="78"/>
        <v>662571</v>
      </c>
      <c r="L262" s="63">
        <f>45107+8398</f>
        <v>53505</v>
      </c>
      <c r="M262" s="63">
        <f>22207+4134</f>
        <v>26341</v>
      </c>
      <c r="N262" s="63">
        <f>2082+388</f>
        <v>2470</v>
      </c>
      <c r="O262" s="63">
        <f t="shared" si="79"/>
        <v>82316</v>
      </c>
      <c r="R262" s="62">
        <f t="shared" si="80"/>
        <v>804188</v>
      </c>
      <c r="S262" s="62">
        <f t="shared" si="81"/>
        <v>0</v>
      </c>
      <c r="V262" s="62">
        <f t="shared" si="82"/>
        <v>522720</v>
      </c>
      <c r="W262" s="62">
        <f t="shared" si="76"/>
        <v>257337</v>
      </c>
      <c r="X262" s="62">
        <f t="shared" si="76"/>
        <v>24131</v>
      </c>
      <c r="Y262" s="62">
        <f t="shared" si="83"/>
        <v>804188</v>
      </c>
      <c r="Z262" s="62">
        <f t="shared" si="84"/>
        <v>0</v>
      </c>
      <c r="AC262" s="99"/>
      <c r="AD262" s="99"/>
      <c r="AE262" s="99"/>
      <c r="AF262" s="98"/>
      <c r="AH262" s="98"/>
    </row>
    <row r="263" spans="1:34" ht="54" customHeight="1" x14ac:dyDescent="0.25">
      <c r="A263" s="56" t="s">
        <v>30</v>
      </c>
      <c r="B263" s="54" t="s">
        <v>2</v>
      </c>
      <c r="C263" s="55">
        <v>39742</v>
      </c>
      <c r="D263" s="55">
        <v>1125</v>
      </c>
      <c r="E263" s="55">
        <v>0</v>
      </c>
      <c r="F263" s="55">
        <v>0</v>
      </c>
      <c r="G263" s="55">
        <f t="shared" si="77"/>
        <v>1125</v>
      </c>
      <c r="H263" s="63">
        <v>33271</v>
      </c>
      <c r="I263" s="63">
        <v>0</v>
      </c>
      <c r="J263" s="63">
        <v>0</v>
      </c>
      <c r="K263" s="63">
        <f t="shared" si="78"/>
        <v>33271</v>
      </c>
      <c r="L263" s="63">
        <v>5346</v>
      </c>
      <c r="M263" s="63">
        <v>0</v>
      </c>
      <c r="N263" s="63">
        <v>0</v>
      </c>
      <c r="O263" s="63">
        <f t="shared" si="79"/>
        <v>5346</v>
      </c>
      <c r="R263" s="62">
        <f t="shared" si="80"/>
        <v>39742</v>
      </c>
      <c r="S263" s="62">
        <f t="shared" si="81"/>
        <v>0</v>
      </c>
      <c r="V263" s="62">
        <f t="shared" si="82"/>
        <v>39742</v>
      </c>
      <c r="W263" s="62">
        <f t="shared" si="76"/>
        <v>0</v>
      </c>
      <c r="X263" s="62">
        <f t="shared" si="76"/>
        <v>0</v>
      </c>
      <c r="Y263" s="62">
        <f t="shared" si="83"/>
        <v>39742</v>
      </c>
      <c r="Z263" s="62">
        <f t="shared" si="84"/>
        <v>0</v>
      </c>
      <c r="AF263" s="98"/>
      <c r="AH263" s="98"/>
    </row>
    <row r="264" spans="1:34" ht="39.75" customHeight="1" x14ac:dyDescent="0.25">
      <c r="A264" s="56" t="s">
        <v>31</v>
      </c>
      <c r="B264" s="54" t="s">
        <v>1</v>
      </c>
      <c r="C264" s="55">
        <v>26266</v>
      </c>
      <c r="D264" s="55">
        <v>1954</v>
      </c>
      <c r="E264" s="55">
        <v>0</v>
      </c>
      <c r="F264" s="55">
        <v>0</v>
      </c>
      <c r="G264" s="55">
        <f t="shared" si="77"/>
        <v>1954</v>
      </c>
      <c r="H264" s="63">
        <v>23253</v>
      </c>
      <c r="I264" s="63">
        <v>0</v>
      </c>
      <c r="J264" s="63">
        <v>0</v>
      </c>
      <c r="K264" s="63">
        <f t="shared" si="78"/>
        <v>23253</v>
      </c>
      <c r="L264" s="63">
        <v>1059</v>
      </c>
      <c r="M264" s="63">
        <v>0</v>
      </c>
      <c r="N264" s="63">
        <v>0</v>
      </c>
      <c r="O264" s="63">
        <f t="shared" si="79"/>
        <v>1059</v>
      </c>
      <c r="R264" s="62">
        <f t="shared" si="80"/>
        <v>26266</v>
      </c>
      <c r="S264" s="62">
        <f t="shared" si="81"/>
        <v>0</v>
      </c>
      <c r="V264" s="62">
        <f t="shared" si="82"/>
        <v>26266</v>
      </c>
      <c r="W264" s="62">
        <f t="shared" si="76"/>
        <v>0</v>
      </c>
      <c r="X264" s="62">
        <f t="shared" si="76"/>
        <v>0</v>
      </c>
      <c r="Y264" s="62">
        <f t="shared" si="83"/>
        <v>26266</v>
      </c>
      <c r="Z264" s="62">
        <f t="shared" si="84"/>
        <v>0</v>
      </c>
      <c r="AF264" s="98"/>
      <c r="AH264" s="98"/>
    </row>
    <row r="265" spans="1:34" ht="33" customHeight="1" x14ac:dyDescent="0.25">
      <c r="A265" s="56" t="s">
        <v>32</v>
      </c>
      <c r="B265" s="54" t="s">
        <v>73</v>
      </c>
      <c r="C265" s="55">
        <v>21336</v>
      </c>
      <c r="D265" s="55">
        <v>4196</v>
      </c>
      <c r="E265" s="55">
        <v>0</v>
      </c>
      <c r="F265" s="55">
        <v>0</v>
      </c>
      <c r="G265" s="55">
        <f t="shared" si="77"/>
        <v>4196</v>
      </c>
      <c r="H265" s="63">
        <v>13738</v>
      </c>
      <c r="I265" s="63">
        <v>0</v>
      </c>
      <c r="J265" s="63">
        <v>0</v>
      </c>
      <c r="K265" s="63">
        <f t="shared" si="78"/>
        <v>13738</v>
      </c>
      <c r="L265" s="63">
        <v>3402</v>
      </c>
      <c r="M265" s="63">
        <v>0</v>
      </c>
      <c r="N265" s="63">
        <v>0</v>
      </c>
      <c r="O265" s="63">
        <f t="shared" si="79"/>
        <v>3402</v>
      </c>
      <c r="R265" s="62">
        <f t="shared" si="80"/>
        <v>21336</v>
      </c>
      <c r="S265" s="62">
        <f t="shared" si="81"/>
        <v>0</v>
      </c>
      <c r="V265" s="62">
        <f t="shared" si="82"/>
        <v>21336</v>
      </c>
      <c r="W265" s="62">
        <f t="shared" si="76"/>
        <v>0</v>
      </c>
      <c r="X265" s="62">
        <f t="shared" si="76"/>
        <v>0</v>
      </c>
      <c r="Y265" s="62">
        <f t="shared" si="83"/>
        <v>21336</v>
      </c>
      <c r="Z265" s="62">
        <f t="shared" si="84"/>
        <v>0</v>
      </c>
      <c r="AF265" s="98"/>
      <c r="AH265" s="98"/>
    </row>
    <row r="266" spans="1:34" ht="33" customHeight="1" x14ac:dyDescent="0.25">
      <c r="A266" s="56" t="s">
        <v>90</v>
      </c>
      <c r="B266" s="70" t="s">
        <v>91</v>
      </c>
      <c r="C266" s="55">
        <f>E266+I266+M266</f>
        <v>61662</v>
      </c>
      <c r="D266" s="55">
        <v>0</v>
      </c>
      <c r="E266" s="55">
        <v>10436</v>
      </c>
      <c r="F266" s="55">
        <v>0</v>
      </c>
      <c r="G266" s="55">
        <f t="shared" si="77"/>
        <v>10436</v>
      </c>
      <c r="H266" s="63">
        <v>0</v>
      </c>
      <c r="I266" s="63">
        <v>34306</v>
      </c>
      <c r="J266" s="63">
        <v>0</v>
      </c>
      <c r="K266" s="63">
        <f t="shared" si="78"/>
        <v>34306</v>
      </c>
      <c r="L266" s="63">
        <v>0</v>
      </c>
      <c r="M266" s="63">
        <v>16920</v>
      </c>
      <c r="N266" s="63">
        <v>0</v>
      </c>
      <c r="O266" s="63">
        <f t="shared" si="79"/>
        <v>16920</v>
      </c>
      <c r="R266" s="62">
        <f t="shared" si="80"/>
        <v>61662</v>
      </c>
      <c r="S266" s="62">
        <f>R266-C266</f>
        <v>0</v>
      </c>
      <c r="V266" s="62">
        <f t="shared" si="82"/>
        <v>0</v>
      </c>
      <c r="W266" s="62">
        <f t="shared" si="76"/>
        <v>61662</v>
      </c>
      <c r="X266" s="62">
        <f t="shared" si="76"/>
        <v>0</v>
      </c>
      <c r="Y266" s="62">
        <f t="shared" si="83"/>
        <v>61662</v>
      </c>
      <c r="Z266" s="62">
        <f t="shared" si="84"/>
        <v>0</v>
      </c>
      <c r="AF266" s="98"/>
      <c r="AH266" s="98"/>
    </row>
    <row r="267" spans="1:34" ht="25.5" customHeight="1" x14ac:dyDescent="0.25">
      <c r="A267" s="57"/>
      <c r="B267" s="57" t="s">
        <v>0</v>
      </c>
      <c r="C267" s="58">
        <f>SUM(C249:C266)</f>
        <v>10498969</v>
      </c>
      <c r="D267" s="58">
        <f t="shared" ref="D267:O267" si="85">SUM(D249:D266)</f>
        <v>342349</v>
      </c>
      <c r="E267" s="58">
        <f t="shared" si="85"/>
        <v>685913</v>
      </c>
      <c r="F267" s="58">
        <f t="shared" si="85"/>
        <v>14268</v>
      </c>
      <c r="G267" s="58">
        <f t="shared" si="85"/>
        <v>1042530</v>
      </c>
      <c r="H267" s="58">
        <f t="shared" si="85"/>
        <v>2943523</v>
      </c>
      <c r="I267" s="58">
        <f t="shared" si="85"/>
        <v>5230470</v>
      </c>
      <c r="J267" s="58">
        <f t="shared" si="85"/>
        <v>122627</v>
      </c>
      <c r="K267" s="58">
        <f t="shared" si="85"/>
        <v>8296620</v>
      </c>
      <c r="L267" s="58">
        <f t="shared" si="85"/>
        <v>361493</v>
      </c>
      <c r="M267" s="58">
        <f t="shared" si="85"/>
        <v>785734</v>
      </c>
      <c r="N267" s="58">
        <f t="shared" si="85"/>
        <v>12592</v>
      </c>
      <c r="O267" s="58">
        <f t="shared" si="85"/>
        <v>1159819</v>
      </c>
      <c r="R267" s="62">
        <f t="shared" si="80"/>
        <v>10498969</v>
      </c>
      <c r="S267" s="62">
        <f t="shared" si="81"/>
        <v>0</v>
      </c>
      <c r="V267" s="62">
        <f t="shared" si="82"/>
        <v>3647365</v>
      </c>
      <c r="W267" s="62">
        <f t="shared" si="76"/>
        <v>6702117</v>
      </c>
      <c r="X267" s="62">
        <f t="shared" si="76"/>
        <v>149487</v>
      </c>
      <c r="Y267" s="62">
        <f t="shared" si="83"/>
        <v>10498969</v>
      </c>
      <c r="Z267" s="62">
        <f t="shared" si="84"/>
        <v>0</v>
      </c>
    </row>
    <row r="269" spans="1:34" s="4" customFormat="1" ht="28.5" customHeight="1" x14ac:dyDescent="0.25">
      <c r="A269" s="152" t="s">
        <v>17</v>
      </c>
      <c r="B269" s="152" t="s">
        <v>33</v>
      </c>
      <c r="C269" s="159" t="s">
        <v>85</v>
      </c>
      <c r="D269" s="152" t="s">
        <v>69</v>
      </c>
      <c r="E269" s="152"/>
      <c r="F269" s="152"/>
      <c r="G269" s="152"/>
      <c r="H269" s="152"/>
      <c r="I269" s="152"/>
      <c r="J269" s="152"/>
      <c r="K269" s="152"/>
      <c r="L269" s="152"/>
      <c r="M269" s="152"/>
      <c r="N269" s="152"/>
      <c r="O269" s="152"/>
      <c r="R269" s="61"/>
      <c r="S269" s="61"/>
      <c r="V269" s="61"/>
      <c r="W269" s="61"/>
      <c r="X269" s="61"/>
      <c r="Y269" s="61"/>
      <c r="Z269" s="61"/>
      <c r="AC269" s="95"/>
      <c r="AD269" s="95"/>
      <c r="AE269" s="95"/>
      <c r="AF269" s="95"/>
      <c r="AG269" s="93"/>
      <c r="AH269" s="95"/>
    </row>
    <row r="270" spans="1:34" s="4" customFormat="1" ht="41.25" customHeight="1" x14ac:dyDescent="0.25">
      <c r="A270" s="152"/>
      <c r="B270" s="152"/>
      <c r="C270" s="159"/>
      <c r="D270" s="154" t="s">
        <v>36</v>
      </c>
      <c r="E270" s="154"/>
      <c r="F270" s="154"/>
      <c r="G270" s="154"/>
      <c r="H270" s="155" t="s">
        <v>37</v>
      </c>
      <c r="I270" s="156"/>
      <c r="J270" s="156"/>
      <c r="K270" s="157"/>
      <c r="L270" s="155" t="s">
        <v>38</v>
      </c>
      <c r="M270" s="156"/>
      <c r="N270" s="156"/>
      <c r="O270" s="157"/>
      <c r="R270" s="61"/>
      <c r="S270" s="61"/>
      <c r="V270" s="61"/>
      <c r="W270" s="61"/>
      <c r="X270" s="61"/>
      <c r="Y270" s="61"/>
      <c r="Z270" s="61"/>
      <c r="AC270" s="95"/>
      <c r="AD270" s="95"/>
      <c r="AE270" s="95"/>
      <c r="AF270" s="95"/>
      <c r="AG270" s="93"/>
      <c r="AH270" s="95"/>
    </row>
    <row r="271" spans="1:34" s="4" customFormat="1" ht="59.25" customHeight="1" x14ac:dyDescent="0.25">
      <c r="A271" s="152"/>
      <c r="B271" s="152"/>
      <c r="C271" s="159"/>
      <c r="D271" s="83" t="s">
        <v>66</v>
      </c>
      <c r="E271" s="83" t="s">
        <v>67</v>
      </c>
      <c r="F271" s="83" t="s">
        <v>68</v>
      </c>
      <c r="G271" s="83" t="s">
        <v>70</v>
      </c>
      <c r="H271" s="65" t="s">
        <v>66</v>
      </c>
      <c r="I271" s="65" t="s">
        <v>67</v>
      </c>
      <c r="J271" s="65" t="s">
        <v>68</v>
      </c>
      <c r="K271" s="65" t="s">
        <v>71</v>
      </c>
      <c r="L271" s="65" t="s">
        <v>66</v>
      </c>
      <c r="M271" s="65" t="s">
        <v>67</v>
      </c>
      <c r="N271" s="65" t="s">
        <v>68</v>
      </c>
      <c r="O271" s="65" t="s">
        <v>72</v>
      </c>
      <c r="R271" s="61"/>
      <c r="S271" s="61"/>
      <c r="V271" s="61" t="s">
        <v>44</v>
      </c>
      <c r="W271" s="61" t="s">
        <v>96</v>
      </c>
      <c r="X271" s="61" t="s">
        <v>97</v>
      </c>
      <c r="Y271" s="61"/>
      <c r="Z271" s="61"/>
      <c r="AC271" s="95"/>
      <c r="AD271" s="95"/>
      <c r="AE271" s="95"/>
      <c r="AF271" s="95"/>
      <c r="AG271" s="93"/>
      <c r="AH271" s="95"/>
    </row>
    <row r="272" spans="1:34" s="3" customFormat="1" ht="14.25" customHeight="1" x14ac:dyDescent="0.25">
      <c r="A272" s="53">
        <v>1</v>
      </c>
      <c r="B272" s="53">
        <v>2</v>
      </c>
      <c r="C272" s="53">
        <v>3</v>
      </c>
      <c r="D272" s="53">
        <v>4</v>
      </c>
      <c r="E272" s="53">
        <v>5</v>
      </c>
      <c r="F272" s="53">
        <v>6</v>
      </c>
      <c r="G272" s="53">
        <v>7</v>
      </c>
      <c r="H272" s="66">
        <v>8</v>
      </c>
      <c r="I272" s="66">
        <v>9</v>
      </c>
      <c r="J272" s="66">
        <v>10</v>
      </c>
      <c r="K272" s="66">
        <v>11</v>
      </c>
      <c r="L272" s="66">
        <v>12</v>
      </c>
      <c r="M272" s="66">
        <v>13</v>
      </c>
      <c r="N272" s="66">
        <v>14</v>
      </c>
      <c r="O272" s="66">
        <v>15</v>
      </c>
      <c r="R272" s="61"/>
      <c r="S272" s="61"/>
      <c r="V272" s="61"/>
      <c r="W272" s="61"/>
      <c r="X272" s="61"/>
      <c r="Y272" s="61"/>
      <c r="Z272" s="61"/>
      <c r="AC272" s="95"/>
      <c r="AD272" s="95"/>
      <c r="AE272" s="95"/>
      <c r="AF272" s="95"/>
      <c r="AG272" s="94"/>
      <c r="AH272" s="95"/>
    </row>
    <row r="273" spans="1:34" s="3" customFormat="1" ht="25.5" customHeight="1" x14ac:dyDescent="0.25">
      <c r="A273" s="53" t="s">
        <v>16</v>
      </c>
      <c r="B273" s="54" t="s">
        <v>15</v>
      </c>
      <c r="C273" s="55">
        <f t="shared" ref="C273:N288" si="86">C200+C224+C249</f>
        <v>9887577</v>
      </c>
      <c r="D273" s="55">
        <f t="shared" si="86"/>
        <v>238233</v>
      </c>
      <c r="E273" s="55">
        <f t="shared" si="86"/>
        <v>1304524</v>
      </c>
      <c r="F273" s="55">
        <f t="shared" si="86"/>
        <v>0</v>
      </c>
      <c r="G273" s="55">
        <f>D273+E273+F273</f>
        <v>1542757</v>
      </c>
      <c r="H273" s="63">
        <f t="shared" si="86"/>
        <v>1004541</v>
      </c>
      <c r="I273" s="63">
        <f t="shared" si="86"/>
        <v>5500695</v>
      </c>
      <c r="J273" s="63">
        <f t="shared" si="86"/>
        <v>0</v>
      </c>
      <c r="K273" s="63">
        <f>H273+I273+J273</f>
        <v>6505236</v>
      </c>
      <c r="L273" s="63">
        <f t="shared" si="86"/>
        <v>284070</v>
      </c>
      <c r="M273" s="63">
        <f t="shared" si="86"/>
        <v>1555514</v>
      </c>
      <c r="N273" s="63">
        <f t="shared" si="86"/>
        <v>0</v>
      </c>
      <c r="O273" s="63">
        <f>L273+M273+N273</f>
        <v>1839584</v>
      </c>
      <c r="R273" s="62">
        <f>G273+K273+O273</f>
        <v>9887577</v>
      </c>
      <c r="S273" s="62">
        <f>R273-C273</f>
        <v>0</v>
      </c>
      <c r="V273" s="62">
        <f>D273+H273+L273</f>
        <v>1526844</v>
      </c>
      <c r="W273" s="62">
        <f t="shared" ref="W273:X291" si="87">E273+I273+M273</f>
        <v>8360733</v>
      </c>
      <c r="X273" s="62">
        <f t="shared" si="87"/>
        <v>0</v>
      </c>
      <c r="Y273" s="62">
        <f>V273+W273+X273</f>
        <v>9887577</v>
      </c>
      <c r="Z273" s="62">
        <f>Y273-C273</f>
        <v>0</v>
      </c>
      <c r="AC273" s="95"/>
      <c r="AD273" s="95"/>
      <c r="AE273" s="95"/>
      <c r="AF273" s="95"/>
      <c r="AG273" s="94"/>
      <c r="AH273" s="95"/>
    </row>
    <row r="274" spans="1:34" ht="40.5" customHeight="1" x14ac:dyDescent="0.25">
      <c r="A274" s="56" t="s">
        <v>24</v>
      </c>
      <c r="B274" s="54" t="s">
        <v>14</v>
      </c>
      <c r="C274" s="55">
        <f t="shared" si="86"/>
        <v>815501</v>
      </c>
      <c r="D274" s="55">
        <f t="shared" si="86"/>
        <v>85886</v>
      </c>
      <c r="E274" s="55">
        <f t="shared" si="86"/>
        <v>80534</v>
      </c>
      <c r="F274" s="55">
        <f t="shared" si="86"/>
        <v>2569</v>
      </c>
      <c r="G274" s="55">
        <f t="shared" ref="G274:G290" si="88">D274+E274+F274</f>
        <v>168989</v>
      </c>
      <c r="H274" s="63">
        <f t="shared" si="86"/>
        <v>252401</v>
      </c>
      <c r="I274" s="63">
        <f t="shared" si="86"/>
        <v>236674</v>
      </c>
      <c r="J274" s="63">
        <f t="shared" si="86"/>
        <v>7548</v>
      </c>
      <c r="K274" s="63">
        <f t="shared" ref="K274:K290" si="89">H274+I274+J274</f>
        <v>496623</v>
      </c>
      <c r="L274" s="63">
        <f t="shared" si="86"/>
        <v>76179</v>
      </c>
      <c r="M274" s="63">
        <f t="shared" si="86"/>
        <v>71432</v>
      </c>
      <c r="N274" s="63">
        <f t="shared" si="86"/>
        <v>2278</v>
      </c>
      <c r="O274" s="63">
        <f t="shared" ref="O274:O290" si="90">L274+M274+N274</f>
        <v>149889</v>
      </c>
      <c r="R274" s="62">
        <f t="shared" ref="R274:R291" si="91">G274+K274+O274</f>
        <v>815501</v>
      </c>
      <c r="S274" s="62">
        <f t="shared" ref="S274:S291" si="92">R274-C274</f>
        <v>0</v>
      </c>
      <c r="V274" s="62">
        <f t="shared" ref="V274:V291" si="93">D274+H274+L274</f>
        <v>414466</v>
      </c>
      <c r="W274" s="62">
        <f t="shared" si="87"/>
        <v>388640</v>
      </c>
      <c r="X274" s="62">
        <f t="shared" si="87"/>
        <v>12395</v>
      </c>
      <c r="Y274" s="62">
        <f t="shared" ref="Y274:Y291" si="94">V274+W274+X274</f>
        <v>815501</v>
      </c>
      <c r="Z274" s="62">
        <f t="shared" ref="Z274:Z291" si="95">Y274-C274</f>
        <v>0</v>
      </c>
    </row>
    <row r="275" spans="1:34" ht="34.5" customHeight="1" x14ac:dyDescent="0.25">
      <c r="A275" s="56" t="s">
        <v>24</v>
      </c>
      <c r="B275" s="54" t="s">
        <v>13</v>
      </c>
      <c r="C275" s="55">
        <f t="shared" si="86"/>
        <v>2227707</v>
      </c>
      <c r="D275" s="55">
        <f t="shared" si="86"/>
        <v>0</v>
      </c>
      <c r="E275" s="55">
        <f t="shared" si="86"/>
        <v>126266</v>
      </c>
      <c r="F275" s="55">
        <f t="shared" si="86"/>
        <v>0</v>
      </c>
      <c r="G275" s="55">
        <f t="shared" si="88"/>
        <v>126266</v>
      </c>
      <c r="H275" s="63">
        <f t="shared" si="86"/>
        <v>0</v>
      </c>
      <c r="I275" s="63">
        <f t="shared" si="86"/>
        <v>1871609</v>
      </c>
      <c r="J275" s="63">
        <f t="shared" si="86"/>
        <v>0</v>
      </c>
      <c r="K275" s="63">
        <f t="shared" si="89"/>
        <v>1871609</v>
      </c>
      <c r="L275" s="63">
        <f t="shared" si="86"/>
        <v>0</v>
      </c>
      <c r="M275" s="63">
        <f t="shared" si="86"/>
        <v>229832</v>
      </c>
      <c r="N275" s="63">
        <f t="shared" si="86"/>
        <v>0</v>
      </c>
      <c r="O275" s="63">
        <f t="shared" si="90"/>
        <v>229832</v>
      </c>
      <c r="R275" s="62">
        <f t="shared" si="91"/>
        <v>2227707</v>
      </c>
      <c r="S275" s="62">
        <f t="shared" si="92"/>
        <v>0</v>
      </c>
      <c r="V275" s="62">
        <f t="shared" si="93"/>
        <v>0</v>
      </c>
      <c r="W275" s="62">
        <f t="shared" si="87"/>
        <v>2227707</v>
      </c>
      <c r="X275" s="62">
        <f t="shared" si="87"/>
        <v>0</v>
      </c>
      <c r="Y275" s="62">
        <f t="shared" si="94"/>
        <v>2227707</v>
      </c>
      <c r="Z275" s="62">
        <f t="shared" si="95"/>
        <v>0</v>
      </c>
    </row>
    <row r="276" spans="1:34" ht="40.5" customHeight="1" x14ac:dyDescent="0.25">
      <c r="A276" s="56" t="s">
        <v>22</v>
      </c>
      <c r="B276" s="54" t="s">
        <v>12</v>
      </c>
      <c r="C276" s="55">
        <f t="shared" si="86"/>
        <v>508752</v>
      </c>
      <c r="D276" s="55">
        <f t="shared" si="86"/>
        <v>58522</v>
      </c>
      <c r="E276" s="55">
        <f t="shared" si="86"/>
        <v>0</v>
      </c>
      <c r="F276" s="55">
        <f t="shared" si="86"/>
        <v>0</v>
      </c>
      <c r="G276" s="55">
        <f t="shared" si="88"/>
        <v>58522</v>
      </c>
      <c r="H276" s="63">
        <f t="shared" si="86"/>
        <v>380607</v>
      </c>
      <c r="I276" s="63">
        <f t="shared" si="86"/>
        <v>0</v>
      </c>
      <c r="J276" s="63">
        <f t="shared" si="86"/>
        <v>0</v>
      </c>
      <c r="K276" s="63">
        <f t="shared" si="89"/>
        <v>380607</v>
      </c>
      <c r="L276" s="63">
        <f t="shared" si="86"/>
        <v>69623</v>
      </c>
      <c r="M276" s="63">
        <f t="shared" si="86"/>
        <v>0</v>
      </c>
      <c r="N276" s="63">
        <f t="shared" si="86"/>
        <v>0</v>
      </c>
      <c r="O276" s="63">
        <f t="shared" si="90"/>
        <v>69623</v>
      </c>
      <c r="R276" s="62">
        <f t="shared" si="91"/>
        <v>508752</v>
      </c>
      <c r="S276" s="62">
        <f t="shared" si="92"/>
        <v>0</v>
      </c>
      <c r="V276" s="62">
        <f t="shared" si="93"/>
        <v>508752</v>
      </c>
      <c r="W276" s="62">
        <f t="shared" si="87"/>
        <v>0</v>
      </c>
      <c r="X276" s="62">
        <f t="shared" si="87"/>
        <v>0</v>
      </c>
      <c r="Y276" s="62">
        <f t="shared" si="94"/>
        <v>508752</v>
      </c>
      <c r="Z276" s="62">
        <f t="shared" si="95"/>
        <v>0</v>
      </c>
    </row>
    <row r="277" spans="1:34" ht="39.75" customHeight="1" x14ac:dyDescent="0.25">
      <c r="A277" s="56" t="s">
        <v>23</v>
      </c>
      <c r="B277" s="54" t="s">
        <v>11</v>
      </c>
      <c r="C277" s="55">
        <f t="shared" si="86"/>
        <v>420829</v>
      </c>
      <c r="D277" s="55">
        <f t="shared" si="86"/>
        <v>16566</v>
      </c>
      <c r="E277" s="55">
        <f t="shared" si="86"/>
        <v>26009</v>
      </c>
      <c r="F277" s="55">
        <f t="shared" si="86"/>
        <v>11225</v>
      </c>
      <c r="G277" s="55">
        <f t="shared" si="88"/>
        <v>53800</v>
      </c>
      <c r="H277" s="63">
        <f t="shared" si="86"/>
        <v>87884</v>
      </c>
      <c r="I277" s="63">
        <f t="shared" si="86"/>
        <v>137977</v>
      </c>
      <c r="J277" s="63">
        <f t="shared" si="86"/>
        <v>59550</v>
      </c>
      <c r="K277" s="63">
        <f t="shared" si="89"/>
        <v>285411</v>
      </c>
      <c r="L277" s="63">
        <f t="shared" si="86"/>
        <v>25132</v>
      </c>
      <c r="M277" s="63">
        <f t="shared" si="86"/>
        <v>39456</v>
      </c>
      <c r="N277" s="63">
        <f t="shared" si="86"/>
        <v>17030</v>
      </c>
      <c r="O277" s="63">
        <f t="shared" si="90"/>
        <v>81618</v>
      </c>
      <c r="R277" s="62">
        <f t="shared" si="91"/>
        <v>420829</v>
      </c>
      <c r="S277" s="62">
        <f t="shared" si="92"/>
        <v>0</v>
      </c>
      <c r="V277" s="62">
        <f t="shared" si="93"/>
        <v>129582</v>
      </c>
      <c r="W277" s="62">
        <f t="shared" si="87"/>
        <v>203442</v>
      </c>
      <c r="X277" s="62">
        <f t="shared" si="87"/>
        <v>87805</v>
      </c>
      <c r="Y277" s="62">
        <f t="shared" si="94"/>
        <v>420829</v>
      </c>
      <c r="Z277" s="62">
        <f t="shared" si="95"/>
        <v>0</v>
      </c>
    </row>
    <row r="278" spans="1:34" ht="28.5" customHeight="1" x14ac:dyDescent="0.25">
      <c r="A278" s="56" t="s">
        <v>20</v>
      </c>
      <c r="B278" s="54" t="s">
        <v>34</v>
      </c>
      <c r="C278" s="55">
        <f t="shared" si="86"/>
        <v>601954</v>
      </c>
      <c r="D278" s="55">
        <f t="shared" si="86"/>
        <v>112674</v>
      </c>
      <c r="E278" s="55">
        <f t="shared" si="86"/>
        <v>0</v>
      </c>
      <c r="F278" s="55">
        <f t="shared" si="86"/>
        <v>0</v>
      </c>
      <c r="G278" s="55">
        <f t="shared" si="88"/>
        <v>112674</v>
      </c>
      <c r="H278" s="63">
        <f t="shared" si="86"/>
        <v>367776</v>
      </c>
      <c r="I278" s="63">
        <f t="shared" si="86"/>
        <v>0</v>
      </c>
      <c r="J278" s="63">
        <f t="shared" si="86"/>
        <v>0</v>
      </c>
      <c r="K278" s="63">
        <f t="shared" si="89"/>
        <v>367776</v>
      </c>
      <c r="L278" s="63">
        <f t="shared" si="86"/>
        <v>121504</v>
      </c>
      <c r="M278" s="63">
        <f t="shared" si="86"/>
        <v>0</v>
      </c>
      <c r="N278" s="63">
        <f t="shared" si="86"/>
        <v>0</v>
      </c>
      <c r="O278" s="63">
        <f t="shared" si="90"/>
        <v>121504</v>
      </c>
      <c r="R278" s="62">
        <f t="shared" si="91"/>
        <v>601954</v>
      </c>
      <c r="S278" s="62">
        <f t="shared" si="92"/>
        <v>0</v>
      </c>
      <c r="V278" s="62">
        <f t="shared" si="93"/>
        <v>601954</v>
      </c>
      <c r="W278" s="62">
        <f t="shared" si="87"/>
        <v>0</v>
      </c>
      <c r="X278" s="62">
        <f t="shared" si="87"/>
        <v>0</v>
      </c>
      <c r="Y278" s="62">
        <f t="shared" si="94"/>
        <v>601954</v>
      </c>
      <c r="Z278" s="62">
        <f t="shared" si="95"/>
        <v>0</v>
      </c>
    </row>
    <row r="279" spans="1:34" ht="34.5" customHeight="1" x14ac:dyDescent="0.25">
      <c r="A279" s="56" t="s">
        <v>22</v>
      </c>
      <c r="B279" s="54" t="s">
        <v>10</v>
      </c>
      <c r="C279" s="55">
        <f t="shared" si="86"/>
        <v>2333198</v>
      </c>
      <c r="D279" s="55">
        <f t="shared" si="86"/>
        <v>50680</v>
      </c>
      <c r="E279" s="55">
        <f t="shared" si="86"/>
        <v>66287</v>
      </c>
      <c r="F279" s="55">
        <f t="shared" si="86"/>
        <v>3122</v>
      </c>
      <c r="G279" s="55">
        <f t="shared" si="88"/>
        <v>120089</v>
      </c>
      <c r="H279" s="63">
        <f t="shared" si="86"/>
        <v>788237</v>
      </c>
      <c r="I279" s="63">
        <f t="shared" si="86"/>
        <v>1030973</v>
      </c>
      <c r="J279" s="63">
        <f t="shared" si="86"/>
        <v>48562</v>
      </c>
      <c r="K279" s="63">
        <f t="shared" si="89"/>
        <v>1867772</v>
      </c>
      <c r="L279" s="63">
        <f t="shared" si="86"/>
        <v>145740</v>
      </c>
      <c r="M279" s="63">
        <f t="shared" si="86"/>
        <v>190619</v>
      </c>
      <c r="N279" s="63">
        <f t="shared" si="86"/>
        <v>8978</v>
      </c>
      <c r="O279" s="63">
        <f t="shared" si="90"/>
        <v>345337</v>
      </c>
      <c r="R279" s="62">
        <f t="shared" si="91"/>
        <v>2333198</v>
      </c>
      <c r="S279" s="62">
        <f t="shared" si="92"/>
        <v>0</v>
      </c>
      <c r="V279" s="62">
        <f t="shared" si="93"/>
        <v>984657</v>
      </c>
      <c r="W279" s="62">
        <f t="shared" si="87"/>
        <v>1287879</v>
      </c>
      <c r="X279" s="62">
        <f t="shared" si="87"/>
        <v>60662</v>
      </c>
      <c r="Y279" s="62">
        <f t="shared" si="94"/>
        <v>2333198</v>
      </c>
      <c r="Z279" s="62">
        <f t="shared" si="95"/>
        <v>0</v>
      </c>
    </row>
    <row r="280" spans="1:34" ht="25.5" customHeight="1" x14ac:dyDescent="0.25">
      <c r="A280" s="56" t="s">
        <v>21</v>
      </c>
      <c r="B280" s="54" t="s">
        <v>9</v>
      </c>
      <c r="C280" s="55">
        <f t="shared" si="86"/>
        <v>1691753</v>
      </c>
      <c r="D280" s="55">
        <f t="shared" si="86"/>
        <v>101477</v>
      </c>
      <c r="E280" s="55">
        <f t="shared" si="86"/>
        <v>306000</v>
      </c>
      <c r="F280" s="55">
        <f t="shared" si="86"/>
        <v>0</v>
      </c>
      <c r="G280" s="55">
        <f t="shared" si="88"/>
        <v>407477</v>
      </c>
      <c r="H280" s="63">
        <f t="shared" si="86"/>
        <v>317077</v>
      </c>
      <c r="I280" s="63">
        <f t="shared" si="86"/>
        <v>956135</v>
      </c>
      <c r="J280" s="63">
        <f t="shared" si="86"/>
        <v>0</v>
      </c>
      <c r="K280" s="63">
        <f t="shared" si="89"/>
        <v>1273212</v>
      </c>
      <c r="L280" s="63">
        <f t="shared" si="86"/>
        <v>2755</v>
      </c>
      <c r="M280" s="63">
        <f t="shared" si="86"/>
        <v>8309</v>
      </c>
      <c r="N280" s="63">
        <f t="shared" si="86"/>
        <v>0</v>
      </c>
      <c r="O280" s="63">
        <f t="shared" si="90"/>
        <v>11064</v>
      </c>
      <c r="R280" s="62">
        <f t="shared" si="91"/>
        <v>1691753</v>
      </c>
      <c r="S280" s="62">
        <f t="shared" si="92"/>
        <v>0</v>
      </c>
      <c r="V280" s="62">
        <f t="shared" si="93"/>
        <v>421309</v>
      </c>
      <c r="W280" s="62">
        <f t="shared" si="87"/>
        <v>1270444</v>
      </c>
      <c r="X280" s="62">
        <f t="shared" si="87"/>
        <v>0</v>
      </c>
      <c r="Y280" s="62">
        <f t="shared" si="94"/>
        <v>1691753</v>
      </c>
      <c r="Z280" s="62">
        <f t="shared" si="95"/>
        <v>0</v>
      </c>
    </row>
    <row r="281" spans="1:34" ht="25.5" customHeight="1" x14ac:dyDescent="0.25">
      <c r="A281" s="56" t="s">
        <v>25</v>
      </c>
      <c r="B281" s="54" t="s">
        <v>8</v>
      </c>
      <c r="C281" s="55">
        <f t="shared" si="86"/>
        <v>2332261</v>
      </c>
      <c r="D281" s="55">
        <f t="shared" si="86"/>
        <v>15874</v>
      </c>
      <c r="E281" s="55">
        <f t="shared" si="86"/>
        <v>76250</v>
      </c>
      <c r="F281" s="55">
        <f t="shared" si="86"/>
        <v>0</v>
      </c>
      <c r="G281" s="55">
        <f t="shared" si="88"/>
        <v>92124</v>
      </c>
      <c r="H281" s="63">
        <f t="shared" si="86"/>
        <v>257621</v>
      </c>
      <c r="I281" s="63">
        <f t="shared" si="86"/>
        <v>1237545</v>
      </c>
      <c r="J281" s="63">
        <f t="shared" si="86"/>
        <v>0</v>
      </c>
      <c r="K281" s="63">
        <f t="shared" si="89"/>
        <v>1495166</v>
      </c>
      <c r="L281" s="63">
        <f t="shared" si="86"/>
        <v>128361</v>
      </c>
      <c r="M281" s="63">
        <f t="shared" si="86"/>
        <v>616610</v>
      </c>
      <c r="N281" s="63">
        <f t="shared" si="86"/>
        <v>0</v>
      </c>
      <c r="O281" s="63">
        <f t="shared" si="90"/>
        <v>744971</v>
      </c>
      <c r="R281" s="62">
        <f t="shared" si="91"/>
        <v>2332261</v>
      </c>
      <c r="S281" s="62">
        <f t="shared" si="92"/>
        <v>0</v>
      </c>
      <c r="V281" s="62">
        <f t="shared" si="93"/>
        <v>401856</v>
      </c>
      <c r="W281" s="62">
        <f t="shared" si="87"/>
        <v>1930405</v>
      </c>
      <c r="X281" s="62">
        <f t="shared" si="87"/>
        <v>0</v>
      </c>
      <c r="Y281" s="62">
        <f t="shared" si="94"/>
        <v>2332261</v>
      </c>
      <c r="Z281" s="62">
        <f t="shared" si="95"/>
        <v>0</v>
      </c>
    </row>
    <row r="282" spans="1:34" ht="25.5" customHeight="1" x14ac:dyDescent="0.25">
      <c r="A282" s="56" t="s">
        <v>26</v>
      </c>
      <c r="B282" s="54" t="s">
        <v>7</v>
      </c>
      <c r="C282" s="55">
        <f t="shared" si="86"/>
        <v>1515871</v>
      </c>
      <c r="D282" s="55">
        <f t="shared" si="86"/>
        <v>3905</v>
      </c>
      <c r="E282" s="55">
        <f t="shared" si="86"/>
        <v>23790</v>
      </c>
      <c r="F282" s="55">
        <f t="shared" si="86"/>
        <v>0</v>
      </c>
      <c r="G282" s="55">
        <f t="shared" si="88"/>
        <v>27695</v>
      </c>
      <c r="H282" s="63">
        <f t="shared" si="86"/>
        <v>190754</v>
      </c>
      <c r="I282" s="63">
        <f t="shared" si="86"/>
        <v>1162282</v>
      </c>
      <c r="J282" s="63">
        <f t="shared" si="86"/>
        <v>0</v>
      </c>
      <c r="K282" s="63">
        <f t="shared" si="89"/>
        <v>1353036</v>
      </c>
      <c r="L282" s="63">
        <f t="shared" si="86"/>
        <v>19052</v>
      </c>
      <c r="M282" s="63">
        <f t="shared" si="86"/>
        <v>116088</v>
      </c>
      <c r="N282" s="63">
        <f t="shared" si="86"/>
        <v>0</v>
      </c>
      <c r="O282" s="63">
        <f t="shared" si="90"/>
        <v>135140</v>
      </c>
      <c r="R282" s="62">
        <f t="shared" si="91"/>
        <v>1515871</v>
      </c>
      <c r="S282" s="62">
        <f t="shared" si="92"/>
        <v>0</v>
      </c>
      <c r="V282" s="62">
        <f t="shared" si="93"/>
        <v>213711</v>
      </c>
      <c r="W282" s="62">
        <f t="shared" si="87"/>
        <v>1302160</v>
      </c>
      <c r="X282" s="62">
        <f t="shared" si="87"/>
        <v>0</v>
      </c>
      <c r="Y282" s="62">
        <f t="shared" si="94"/>
        <v>1515871</v>
      </c>
      <c r="Z282" s="62">
        <f t="shared" si="95"/>
        <v>0</v>
      </c>
    </row>
    <row r="283" spans="1:34" ht="25.5" customHeight="1" x14ac:dyDescent="0.25">
      <c r="A283" s="56" t="s">
        <v>20</v>
      </c>
      <c r="B283" s="54" t="s">
        <v>6</v>
      </c>
      <c r="C283" s="55">
        <f t="shared" si="86"/>
        <v>3069610</v>
      </c>
      <c r="D283" s="55">
        <f t="shared" si="86"/>
        <v>11465</v>
      </c>
      <c r="E283" s="55">
        <f t="shared" si="86"/>
        <v>9702</v>
      </c>
      <c r="F283" s="55">
        <f t="shared" si="86"/>
        <v>230</v>
      </c>
      <c r="G283" s="55">
        <f t="shared" si="88"/>
        <v>21397</v>
      </c>
      <c r="H283" s="63">
        <f t="shared" si="86"/>
        <v>1631059</v>
      </c>
      <c r="I283" s="63">
        <f t="shared" si="86"/>
        <v>1380122</v>
      </c>
      <c r="J283" s="63">
        <f t="shared" si="86"/>
        <v>32428</v>
      </c>
      <c r="K283" s="63">
        <f t="shared" si="89"/>
        <v>3043609</v>
      </c>
      <c r="L283" s="63">
        <f t="shared" si="86"/>
        <v>2467</v>
      </c>
      <c r="M283" s="63">
        <f t="shared" si="86"/>
        <v>2089</v>
      </c>
      <c r="N283" s="63">
        <f t="shared" si="86"/>
        <v>48</v>
      </c>
      <c r="O283" s="63">
        <f t="shared" si="90"/>
        <v>4604</v>
      </c>
      <c r="R283" s="62">
        <f t="shared" si="91"/>
        <v>3069610</v>
      </c>
      <c r="S283" s="62">
        <f t="shared" si="92"/>
        <v>0</v>
      </c>
      <c r="V283" s="62">
        <f t="shared" si="93"/>
        <v>1644991</v>
      </c>
      <c r="W283" s="62">
        <f t="shared" si="87"/>
        <v>1391913</v>
      </c>
      <c r="X283" s="62">
        <f t="shared" si="87"/>
        <v>32706</v>
      </c>
      <c r="Y283" s="62">
        <f t="shared" si="94"/>
        <v>3069610</v>
      </c>
      <c r="Z283" s="62">
        <f t="shared" si="95"/>
        <v>0</v>
      </c>
    </row>
    <row r="284" spans="1:34" ht="25.5" customHeight="1" x14ac:dyDescent="0.25">
      <c r="A284" s="56" t="s">
        <v>19</v>
      </c>
      <c r="B284" s="54" t="s">
        <v>5</v>
      </c>
      <c r="C284" s="55">
        <f t="shared" si="86"/>
        <v>2988261</v>
      </c>
      <c r="D284" s="55">
        <f t="shared" si="86"/>
        <v>117343</v>
      </c>
      <c r="E284" s="55">
        <f t="shared" si="86"/>
        <v>281775</v>
      </c>
      <c r="F284" s="55">
        <f t="shared" si="86"/>
        <v>14308</v>
      </c>
      <c r="G284" s="55">
        <f t="shared" si="88"/>
        <v>413426</v>
      </c>
      <c r="H284" s="63">
        <f t="shared" si="86"/>
        <v>723695</v>
      </c>
      <c r="I284" s="63">
        <f t="shared" si="86"/>
        <v>1737817</v>
      </c>
      <c r="J284" s="63">
        <f t="shared" si="86"/>
        <v>88249</v>
      </c>
      <c r="K284" s="63">
        <f t="shared" si="89"/>
        <v>2549761</v>
      </c>
      <c r="L284" s="63">
        <f t="shared" si="86"/>
        <v>7116</v>
      </c>
      <c r="M284" s="63">
        <f t="shared" si="86"/>
        <v>17087</v>
      </c>
      <c r="N284" s="63">
        <f t="shared" si="86"/>
        <v>871</v>
      </c>
      <c r="O284" s="63">
        <f t="shared" si="90"/>
        <v>25074</v>
      </c>
      <c r="R284" s="62">
        <f t="shared" si="91"/>
        <v>2988261</v>
      </c>
      <c r="S284" s="62">
        <f t="shared" si="92"/>
        <v>0</v>
      </c>
      <c r="V284" s="62">
        <f t="shared" si="93"/>
        <v>848154</v>
      </c>
      <c r="W284" s="62">
        <f t="shared" si="87"/>
        <v>2036679</v>
      </c>
      <c r="X284" s="62">
        <f t="shared" si="87"/>
        <v>103428</v>
      </c>
      <c r="Y284" s="62">
        <f t="shared" si="94"/>
        <v>2988261</v>
      </c>
      <c r="Z284" s="62">
        <f t="shared" si="95"/>
        <v>0</v>
      </c>
    </row>
    <row r="285" spans="1:34" ht="25.5" customHeight="1" x14ac:dyDescent="0.25">
      <c r="A285" s="56" t="s">
        <v>18</v>
      </c>
      <c r="B285" s="54" t="s">
        <v>4</v>
      </c>
      <c r="C285" s="55">
        <f t="shared" si="86"/>
        <v>2265846</v>
      </c>
      <c r="D285" s="55">
        <f t="shared" si="86"/>
        <v>43938</v>
      </c>
      <c r="E285" s="55">
        <f t="shared" si="86"/>
        <v>74043</v>
      </c>
      <c r="F285" s="55">
        <f t="shared" si="86"/>
        <v>3062</v>
      </c>
      <c r="G285" s="55">
        <f t="shared" si="88"/>
        <v>121043</v>
      </c>
      <c r="H285" s="63">
        <f t="shared" si="86"/>
        <v>752837</v>
      </c>
      <c r="I285" s="63">
        <f t="shared" si="86"/>
        <v>1268656</v>
      </c>
      <c r="J285" s="63">
        <f t="shared" si="86"/>
        <v>52460</v>
      </c>
      <c r="K285" s="63">
        <f t="shared" si="89"/>
        <v>2073953</v>
      </c>
      <c r="L285" s="63">
        <f t="shared" si="86"/>
        <v>25718</v>
      </c>
      <c r="M285" s="63">
        <f t="shared" si="86"/>
        <v>43341</v>
      </c>
      <c r="N285" s="63">
        <f t="shared" si="86"/>
        <v>1791</v>
      </c>
      <c r="O285" s="63">
        <f t="shared" si="90"/>
        <v>70850</v>
      </c>
      <c r="R285" s="62">
        <f t="shared" si="91"/>
        <v>2265846</v>
      </c>
      <c r="S285" s="62">
        <f t="shared" si="92"/>
        <v>0</v>
      </c>
      <c r="V285" s="62">
        <f t="shared" si="93"/>
        <v>822493</v>
      </c>
      <c r="W285" s="62">
        <f t="shared" si="87"/>
        <v>1386040</v>
      </c>
      <c r="X285" s="62">
        <f t="shared" si="87"/>
        <v>57313</v>
      </c>
      <c r="Y285" s="62">
        <f t="shared" si="94"/>
        <v>2265846</v>
      </c>
      <c r="Z285" s="62">
        <f t="shared" si="95"/>
        <v>0</v>
      </c>
    </row>
    <row r="286" spans="1:34" ht="25.5" customHeight="1" x14ac:dyDescent="0.25">
      <c r="A286" s="56" t="s">
        <v>25</v>
      </c>
      <c r="B286" s="54" t="s">
        <v>3</v>
      </c>
      <c r="C286" s="55">
        <f t="shared" si="86"/>
        <v>2412560</v>
      </c>
      <c r="D286" s="55">
        <f t="shared" si="86"/>
        <v>115635</v>
      </c>
      <c r="E286" s="55">
        <f t="shared" si="86"/>
        <v>56928</v>
      </c>
      <c r="F286" s="55">
        <f t="shared" si="86"/>
        <v>5340</v>
      </c>
      <c r="G286" s="55">
        <f t="shared" si="88"/>
        <v>177903</v>
      </c>
      <c r="H286" s="63">
        <f t="shared" si="86"/>
        <v>1292008</v>
      </c>
      <c r="I286" s="63">
        <f t="shared" si="86"/>
        <v>636058</v>
      </c>
      <c r="J286" s="63">
        <f t="shared" si="86"/>
        <v>59643</v>
      </c>
      <c r="K286" s="63">
        <f t="shared" si="89"/>
        <v>1987709</v>
      </c>
      <c r="L286" s="63">
        <f t="shared" si="86"/>
        <v>160515</v>
      </c>
      <c r="M286" s="63">
        <f t="shared" si="86"/>
        <v>79023</v>
      </c>
      <c r="N286" s="63">
        <f t="shared" si="86"/>
        <v>7410</v>
      </c>
      <c r="O286" s="63">
        <f t="shared" si="90"/>
        <v>246948</v>
      </c>
      <c r="R286" s="62">
        <f t="shared" si="91"/>
        <v>2412560</v>
      </c>
      <c r="S286" s="62">
        <f t="shared" si="92"/>
        <v>0</v>
      </c>
      <c r="V286" s="62">
        <f t="shared" si="93"/>
        <v>1568158</v>
      </c>
      <c r="W286" s="62">
        <f t="shared" si="87"/>
        <v>772009</v>
      </c>
      <c r="X286" s="62">
        <f t="shared" si="87"/>
        <v>72393</v>
      </c>
      <c r="Y286" s="62">
        <f t="shared" si="94"/>
        <v>2412560</v>
      </c>
      <c r="Z286" s="62">
        <f t="shared" si="95"/>
        <v>0</v>
      </c>
    </row>
    <row r="287" spans="1:34" ht="54" customHeight="1" x14ac:dyDescent="0.25">
      <c r="A287" s="56" t="s">
        <v>30</v>
      </c>
      <c r="B287" s="54" t="s">
        <v>2</v>
      </c>
      <c r="C287" s="55">
        <f t="shared" si="86"/>
        <v>119226</v>
      </c>
      <c r="D287" s="55">
        <f t="shared" si="86"/>
        <v>3375</v>
      </c>
      <c r="E287" s="55">
        <f t="shared" si="86"/>
        <v>0</v>
      </c>
      <c r="F287" s="55">
        <f t="shared" si="86"/>
        <v>0</v>
      </c>
      <c r="G287" s="55">
        <f t="shared" si="88"/>
        <v>3375</v>
      </c>
      <c r="H287" s="63">
        <f t="shared" si="86"/>
        <v>99813</v>
      </c>
      <c r="I287" s="63">
        <f t="shared" si="86"/>
        <v>0</v>
      </c>
      <c r="J287" s="63">
        <f t="shared" si="86"/>
        <v>0</v>
      </c>
      <c r="K287" s="63">
        <f t="shared" si="89"/>
        <v>99813</v>
      </c>
      <c r="L287" s="63">
        <f t="shared" si="86"/>
        <v>16038</v>
      </c>
      <c r="M287" s="63">
        <f t="shared" si="86"/>
        <v>0</v>
      </c>
      <c r="N287" s="63">
        <f t="shared" si="86"/>
        <v>0</v>
      </c>
      <c r="O287" s="63">
        <f t="shared" si="90"/>
        <v>16038</v>
      </c>
      <c r="R287" s="62">
        <f t="shared" si="91"/>
        <v>119226</v>
      </c>
      <c r="S287" s="62">
        <f t="shared" si="92"/>
        <v>0</v>
      </c>
      <c r="V287" s="62">
        <f t="shared" si="93"/>
        <v>119226</v>
      </c>
      <c r="W287" s="62">
        <f t="shared" si="87"/>
        <v>0</v>
      </c>
      <c r="X287" s="62">
        <f t="shared" si="87"/>
        <v>0</v>
      </c>
      <c r="Y287" s="62">
        <f t="shared" si="94"/>
        <v>119226</v>
      </c>
      <c r="Z287" s="62">
        <f t="shared" si="95"/>
        <v>0</v>
      </c>
    </row>
    <row r="288" spans="1:34" ht="39.75" customHeight="1" x14ac:dyDescent="0.25">
      <c r="A288" s="56" t="s">
        <v>31</v>
      </c>
      <c r="B288" s="54" t="s">
        <v>1</v>
      </c>
      <c r="C288" s="55">
        <f t="shared" si="86"/>
        <v>86129</v>
      </c>
      <c r="D288" s="55">
        <f t="shared" si="86"/>
        <v>6407</v>
      </c>
      <c r="E288" s="55">
        <f t="shared" si="86"/>
        <v>0</v>
      </c>
      <c r="F288" s="55">
        <f t="shared" si="86"/>
        <v>0</v>
      </c>
      <c r="G288" s="55">
        <f t="shared" si="88"/>
        <v>6407</v>
      </c>
      <c r="H288" s="63">
        <f t="shared" si="86"/>
        <v>76248</v>
      </c>
      <c r="I288" s="63">
        <f t="shared" si="86"/>
        <v>0</v>
      </c>
      <c r="J288" s="63">
        <f t="shared" si="86"/>
        <v>0</v>
      </c>
      <c r="K288" s="63">
        <f t="shared" si="89"/>
        <v>76248</v>
      </c>
      <c r="L288" s="63">
        <f t="shared" si="86"/>
        <v>3474</v>
      </c>
      <c r="M288" s="63">
        <f t="shared" si="86"/>
        <v>0</v>
      </c>
      <c r="N288" s="63">
        <f t="shared" si="86"/>
        <v>0</v>
      </c>
      <c r="O288" s="63">
        <f t="shared" si="90"/>
        <v>3474</v>
      </c>
      <c r="R288" s="62">
        <f t="shared" si="91"/>
        <v>86129</v>
      </c>
      <c r="S288" s="62">
        <f t="shared" si="92"/>
        <v>0</v>
      </c>
      <c r="V288" s="62">
        <f t="shared" si="93"/>
        <v>86129</v>
      </c>
      <c r="W288" s="62">
        <f t="shared" si="87"/>
        <v>0</v>
      </c>
      <c r="X288" s="62">
        <f t="shared" si="87"/>
        <v>0</v>
      </c>
      <c r="Y288" s="62">
        <f t="shared" si="94"/>
        <v>86129</v>
      </c>
      <c r="Z288" s="62">
        <f t="shared" si="95"/>
        <v>0</v>
      </c>
    </row>
    <row r="289" spans="1:34" ht="33" customHeight="1" x14ac:dyDescent="0.25">
      <c r="A289" s="56" t="s">
        <v>32</v>
      </c>
      <c r="B289" s="54" t="s">
        <v>73</v>
      </c>
      <c r="C289" s="55">
        <f t="shared" ref="C289:F290" si="96">C216+C240+C265</f>
        <v>146768</v>
      </c>
      <c r="D289" s="55">
        <f t="shared" si="96"/>
        <v>28868</v>
      </c>
      <c r="E289" s="55">
        <f t="shared" si="96"/>
        <v>0</v>
      </c>
      <c r="F289" s="55">
        <f t="shared" si="96"/>
        <v>0</v>
      </c>
      <c r="G289" s="55">
        <f t="shared" si="88"/>
        <v>28868</v>
      </c>
      <c r="H289" s="63">
        <f t="shared" ref="H289:J290" si="97">H216+H240+H265</f>
        <v>94498</v>
      </c>
      <c r="I289" s="63">
        <f t="shared" si="97"/>
        <v>0</v>
      </c>
      <c r="J289" s="63">
        <f t="shared" si="97"/>
        <v>0</v>
      </c>
      <c r="K289" s="63">
        <f t="shared" si="89"/>
        <v>94498</v>
      </c>
      <c r="L289" s="63">
        <f t="shared" ref="L289:N290" si="98">L216+L240+L265</f>
        <v>23402</v>
      </c>
      <c r="M289" s="63">
        <f t="shared" si="98"/>
        <v>0</v>
      </c>
      <c r="N289" s="63">
        <f t="shared" si="98"/>
        <v>0</v>
      </c>
      <c r="O289" s="63">
        <f t="shared" si="90"/>
        <v>23402</v>
      </c>
      <c r="R289" s="62">
        <f t="shared" si="91"/>
        <v>146768</v>
      </c>
      <c r="S289" s="62">
        <f t="shared" si="92"/>
        <v>0</v>
      </c>
      <c r="V289" s="62">
        <f t="shared" si="93"/>
        <v>146768</v>
      </c>
      <c r="W289" s="62">
        <f t="shared" si="87"/>
        <v>0</v>
      </c>
      <c r="X289" s="62">
        <f t="shared" si="87"/>
        <v>0</v>
      </c>
      <c r="Y289" s="62">
        <f t="shared" si="94"/>
        <v>146768</v>
      </c>
      <c r="Z289" s="62">
        <f t="shared" si="95"/>
        <v>0</v>
      </c>
    </row>
    <row r="290" spans="1:34" ht="33" customHeight="1" x14ac:dyDescent="0.25">
      <c r="A290" s="56" t="s">
        <v>90</v>
      </c>
      <c r="B290" s="70" t="s">
        <v>91</v>
      </c>
      <c r="C290" s="55">
        <f>E290+I290+M290</f>
        <v>184986</v>
      </c>
      <c r="D290" s="55">
        <f t="shared" si="96"/>
        <v>0</v>
      </c>
      <c r="E290" s="55">
        <f t="shared" si="96"/>
        <v>31308</v>
      </c>
      <c r="F290" s="55">
        <f t="shared" si="96"/>
        <v>0</v>
      </c>
      <c r="G290" s="55">
        <f t="shared" si="88"/>
        <v>31308</v>
      </c>
      <c r="H290" s="63">
        <f t="shared" si="97"/>
        <v>0</v>
      </c>
      <c r="I290" s="63">
        <f t="shared" si="97"/>
        <v>102918</v>
      </c>
      <c r="J290" s="63">
        <f t="shared" si="97"/>
        <v>0</v>
      </c>
      <c r="K290" s="63">
        <f t="shared" si="89"/>
        <v>102918</v>
      </c>
      <c r="L290" s="63">
        <f t="shared" si="98"/>
        <v>0</v>
      </c>
      <c r="M290" s="63">
        <f t="shared" si="98"/>
        <v>50760</v>
      </c>
      <c r="N290" s="63">
        <f t="shared" si="98"/>
        <v>0</v>
      </c>
      <c r="O290" s="63">
        <f t="shared" si="90"/>
        <v>50760</v>
      </c>
      <c r="R290" s="62">
        <f t="shared" si="91"/>
        <v>184986</v>
      </c>
      <c r="S290" s="62">
        <f>R290-C290</f>
        <v>0</v>
      </c>
      <c r="V290" s="62">
        <f t="shared" si="93"/>
        <v>0</v>
      </c>
      <c r="W290" s="62">
        <f t="shared" si="87"/>
        <v>184986</v>
      </c>
      <c r="X290" s="62">
        <f t="shared" si="87"/>
        <v>0</v>
      </c>
      <c r="Y290" s="62">
        <f t="shared" si="94"/>
        <v>184986</v>
      </c>
      <c r="Z290" s="62">
        <f t="shared" si="95"/>
        <v>0</v>
      </c>
    </row>
    <row r="291" spans="1:34" ht="25.5" customHeight="1" x14ac:dyDescent="0.25">
      <c r="A291" s="57"/>
      <c r="B291" s="57" t="s">
        <v>0</v>
      </c>
      <c r="C291" s="58">
        <f>SUM(C273:C290)</f>
        <v>33608789</v>
      </c>
      <c r="D291" s="58">
        <f t="shared" ref="D291:O291" si="99">SUM(D273:D290)</f>
        <v>1010848</v>
      </c>
      <c r="E291" s="58">
        <f t="shared" si="99"/>
        <v>2463416</v>
      </c>
      <c r="F291" s="58">
        <f t="shared" si="99"/>
        <v>39856</v>
      </c>
      <c r="G291" s="58">
        <f t="shared" si="99"/>
        <v>3514120</v>
      </c>
      <c r="H291" s="58">
        <f t="shared" si="99"/>
        <v>8317056</v>
      </c>
      <c r="I291" s="58">
        <f t="shared" si="99"/>
        <v>17259461</v>
      </c>
      <c r="J291" s="58">
        <f t="shared" si="99"/>
        <v>348440</v>
      </c>
      <c r="K291" s="58">
        <f t="shared" si="99"/>
        <v>25924957</v>
      </c>
      <c r="L291" s="58">
        <f t="shared" si="99"/>
        <v>1111146</v>
      </c>
      <c r="M291" s="58">
        <f t="shared" si="99"/>
        <v>3020160</v>
      </c>
      <c r="N291" s="58">
        <f t="shared" si="99"/>
        <v>38406</v>
      </c>
      <c r="O291" s="58">
        <f t="shared" si="99"/>
        <v>4169712</v>
      </c>
      <c r="R291" s="62">
        <f t="shared" si="91"/>
        <v>33608789</v>
      </c>
      <c r="S291" s="62">
        <f t="shared" si="92"/>
        <v>0</v>
      </c>
      <c r="V291" s="62">
        <f t="shared" si="93"/>
        <v>10439050</v>
      </c>
      <c r="W291" s="62">
        <f t="shared" si="87"/>
        <v>22743037</v>
      </c>
      <c r="X291" s="62">
        <f t="shared" si="87"/>
        <v>426702</v>
      </c>
      <c r="Y291" s="62">
        <f t="shared" si="94"/>
        <v>33608789</v>
      </c>
      <c r="Z291" s="62">
        <f t="shared" si="95"/>
        <v>0</v>
      </c>
    </row>
    <row r="293" spans="1:34" x14ac:dyDescent="0.25">
      <c r="A293" s="161" t="s">
        <v>94</v>
      </c>
      <c r="B293" s="161"/>
      <c r="C293" s="161"/>
      <c r="D293" s="161"/>
      <c r="E293" s="161"/>
      <c r="F293" s="161"/>
      <c r="G293" s="161"/>
      <c r="H293" s="161"/>
      <c r="I293" s="161"/>
      <c r="J293" s="161"/>
      <c r="K293" s="161"/>
      <c r="L293" s="161"/>
      <c r="M293" s="161"/>
      <c r="N293" s="161"/>
      <c r="O293" s="161"/>
    </row>
    <row r="294" spans="1:34" s="4" customFormat="1" ht="28.5" customHeight="1" x14ac:dyDescent="0.25">
      <c r="A294" s="152" t="s">
        <v>17</v>
      </c>
      <c r="B294" s="152" t="s">
        <v>33</v>
      </c>
      <c r="C294" s="152" t="s">
        <v>84</v>
      </c>
      <c r="D294" s="152" t="s">
        <v>69</v>
      </c>
      <c r="E294" s="152"/>
      <c r="F294" s="152"/>
      <c r="G294" s="152"/>
      <c r="H294" s="152"/>
      <c r="I294" s="152"/>
      <c r="J294" s="152"/>
      <c r="K294" s="152"/>
      <c r="L294" s="152"/>
      <c r="M294" s="152"/>
      <c r="N294" s="152"/>
      <c r="O294" s="152"/>
      <c r="R294" s="61"/>
      <c r="S294" s="61"/>
      <c r="V294" s="61"/>
      <c r="W294" s="61"/>
      <c r="X294" s="61"/>
      <c r="Y294" s="61"/>
      <c r="Z294" s="61"/>
      <c r="AC294" s="95"/>
      <c r="AD294" s="95"/>
      <c r="AE294" s="95"/>
      <c r="AF294" s="95"/>
      <c r="AG294" s="93"/>
      <c r="AH294" s="95"/>
    </row>
    <row r="295" spans="1:34" s="4" customFormat="1" ht="41.25" customHeight="1" x14ac:dyDescent="0.25">
      <c r="A295" s="152"/>
      <c r="B295" s="152"/>
      <c r="C295" s="152"/>
      <c r="D295" s="154" t="s">
        <v>36</v>
      </c>
      <c r="E295" s="154"/>
      <c r="F295" s="154"/>
      <c r="G295" s="154"/>
      <c r="H295" s="155" t="s">
        <v>37</v>
      </c>
      <c r="I295" s="156"/>
      <c r="J295" s="156"/>
      <c r="K295" s="157"/>
      <c r="L295" s="155" t="s">
        <v>38</v>
      </c>
      <c r="M295" s="156"/>
      <c r="N295" s="156"/>
      <c r="O295" s="157"/>
      <c r="R295" s="61"/>
      <c r="S295" s="61"/>
      <c r="V295" s="61"/>
      <c r="W295" s="61"/>
      <c r="X295" s="61"/>
      <c r="Y295" s="61"/>
      <c r="Z295" s="61"/>
      <c r="AC295" s="95"/>
      <c r="AD295" s="95"/>
      <c r="AE295" s="95"/>
      <c r="AF295" s="95"/>
      <c r="AG295" s="93"/>
      <c r="AH295" s="95"/>
    </row>
    <row r="296" spans="1:34" s="4" customFormat="1" ht="59.25" customHeight="1" x14ac:dyDescent="0.25">
      <c r="A296" s="152"/>
      <c r="B296" s="152"/>
      <c r="C296" s="152"/>
      <c r="D296" s="83" t="s">
        <v>66</v>
      </c>
      <c r="E296" s="83" t="s">
        <v>67</v>
      </c>
      <c r="F296" s="83" t="s">
        <v>68</v>
      </c>
      <c r="G296" s="83" t="s">
        <v>70</v>
      </c>
      <c r="H296" s="65" t="s">
        <v>66</v>
      </c>
      <c r="I296" s="65" t="s">
        <v>67</v>
      </c>
      <c r="J296" s="65" t="s">
        <v>68</v>
      </c>
      <c r="K296" s="65" t="s">
        <v>71</v>
      </c>
      <c r="L296" s="65" t="s">
        <v>66</v>
      </c>
      <c r="M296" s="65" t="s">
        <v>67</v>
      </c>
      <c r="N296" s="65" t="s">
        <v>68</v>
      </c>
      <c r="O296" s="65" t="s">
        <v>72</v>
      </c>
      <c r="R296" s="61"/>
      <c r="S296" s="61"/>
      <c r="V296" s="61" t="s">
        <v>44</v>
      </c>
      <c r="W296" s="61" t="s">
        <v>96</v>
      </c>
      <c r="X296" s="61" t="s">
        <v>97</v>
      </c>
      <c r="Y296" s="61"/>
      <c r="Z296" s="61"/>
      <c r="AC296" s="95"/>
      <c r="AD296" s="95"/>
      <c r="AE296" s="95"/>
      <c r="AF296" s="95"/>
      <c r="AG296" s="93"/>
      <c r="AH296" s="95"/>
    </row>
    <row r="297" spans="1:34" s="3" customFormat="1" ht="14.25" customHeight="1" x14ac:dyDescent="0.25">
      <c r="A297" s="53">
        <v>1</v>
      </c>
      <c r="B297" s="53">
        <v>2</v>
      </c>
      <c r="C297" s="53">
        <v>3</v>
      </c>
      <c r="D297" s="53">
        <v>4</v>
      </c>
      <c r="E297" s="53">
        <v>5</v>
      </c>
      <c r="F297" s="53">
        <v>6</v>
      </c>
      <c r="G297" s="53">
        <v>7</v>
      </c>
      <c r="H297" s="66">
        <v>8</v>
      </c>
      <c r="I297" s="66">
        <v>9</v>
      </c>
      <c r="J297" s="66">
        <v>10</v>
      </c>
      <c r="K297" s="66">
        <v>11</v>
      </c>
      <c r="L297" s="66">
        <v>12</v>
      </c>
      <c r="M297" s="66">
        <v>13</v>
      </c>
      <c r="N297" s="66">
        <v>14</v>
      </c>
      <c r="O297" s="66">
        <v>15</v>
      </c>
      <c r="R297" s="61"/>
      <c r="S297" s="61"/>
      <c r="V297" s="61"/>
      <c r="W297" s="61"/>
      <c r="X297" s="61"/>
      <c r="Y297" s="61"/>
      <c r="Z297" s="61"/>
      <c r="AC297" s="95"/>
      <c r="AD297" s="95"/>
      <c r="AE297" s="95"/>
      <c r="AF297" s="95"/>
      <c r="AG297" s="94"/>
      <c r="AH297" s="95"/>
    </row>
    <row r="298" spans="1:34" s="3" customFormat="1" ht="25.5" customHeight="1" x14ac:dyDescent="0.25">
      <c r="A298" s="53" t="s">
        <v>16</v>
      </c>
      <c r="B298" s="54" t="s">
        <v>15</v>
      </c>
      <c r="C298" s="55">
        <f>5388736+722405</f>
        <v>6111141</v>
      </c>
      <c r="D298" s="55">
        <f>95180+12751</f>
        <v>107931</v>
      </c>
      <c r="E298" s="55">
        <f>745625+99966</f>
        <v>845591</v>
      </c>
      <c r="F298" s="55">
        <v>0</v>
      </c>
      <c r="G298" s="55">
        <f>D298+E298+F298</f>
        <v>953522</v>
      </c>
      <c r="H298" s="63">
        <f>401334+53764</f>
        <v>455098</v>
      </c>
      <c r="I298" s="63">
        <f>3144023+421521</f>
        <v>3565544</v>
      </c>
      <c r="J298" s="63">
        <v>0</v>
      </c>
      <c r="K298" s="63">
        <f>H298+I298+J298</f>
        <v>4020642</v>
      </c>
      <c r="L298" s="63">
        <f>113491+15203</f>
        <v>128694</v>
      </c>
      <c r="M298" s="63">
        <f>889083+119200</f>
        <v>1008283</v>
      </c>
      <c r="N298" s="63">
        <v>0</v>
      </c>
      <c r="O298" s="63">
        <f>L298+M298+N298</f>
        <v>1136977</v>
      </c>
      <c r="R298" s="62">
        <f>G298+K298+O298</f>
        <v>6111141</v>
      </c>
      <c r="S298" s="62">
        <f>R298-C298</f>
        <v>0</v>
      </c>
      <c r="V298" s="62">
        <f>D298+H298+L298</f>
        <v>691723</v>
      </c>
      <c r="W298" s="62">
        <f t="shared" ref="W298:X316" si="100">E298+I298+M298</f>
        <v>5419418</v>
      </c>
      <c r="X298" s="62">
        <f t="shared" si="100"/>
        <v>0</v>
      </c>
      <c r="Y298" s="62">
        <f>V298+W298+X298</f>
        <v>6111141</v>
      </c>
      <c r="Z298" s="62">
        <f>Y298-C298</f>
        <v>0</v>
      </c>
      <c r="AC298" s="99"/>
      <c r="AD298" s="99"/>
      <c r="AE298" s="99"/>
      <c r="AF298" s="98"/>
      <c r="AG298" s="92"/>
      <c r="AH298" s="98"/>
    </row>
    <row r="299" spans="1:34" ht="40.5" customHeight="1" x14ac:dyDescent="0.25">
      <c r="A299" s="56" t="s">
        <v>24</v>
      </c>
      <c r="B299" s="54" t="s">
        <v>14</v>
      </c>
      <c r="C299" s="55">
        <v>284164</v>
      </c>
      <c r="D299" s="55">
        <v>31173</v>
      </c>
      <c r="E299" s="55">
        <v>26857</v>
      </c>
      <c r="F299" s="55">
        <v>854</v>
      </c>
      <c r="G299" s="55">
        <f t="shared" ref="G299:G315" si="101">D299+E299+F299</f>
        <v>58884</v>
      </c>
      <c r="H299" s="63">
        <v>91613</v>
      </c>
      <c r="I299" s="63">
        <v>78928</v>
      </c>
      <c r="J299" s="63">
        <v>2509</v>
      </c>
      <c r="K299" s="63">
        <f t="shared" ref="K299:K315" si="102">H299+I299+J299</f>
        <v>173050</v>
      </c>
      <c r="L299" s="63">
        <v>27650</v>
      </c>
      <c r="M299" s="63">
        <v>23822</v>
      </c>
      <c r="N299" s="63">
        <v>758</v>
      </c>
      <c r="O299" s="63">
        <f t="shared" ref="O299:O315" si="103">L299+M299+N299</f>
        <v>52230</v>
      </c>
      <c r="R299" s="62">
        <f t="shared" ref="R299:R315" si="104">G299+K299+O299</f>
        <v>284164</v>
      </c>
      <c r="S299" s="62">
        <f t="shared" ref="S299:S316" si="105">R299-C299</f>
        <v>0</v>
      </c>
      <c r="V299" s="62">
        <f t="shared" ref="V299:V316" si="106">D299+H299+L299</f>
        <v>150436</v>
      </c>
      <c r="W299" s="62">
        <f t="shared" si="100"/>
        <v>129607</v>
      </c>
      <c r="X299" s="62">
        <f t="shared" si="100"/>
        <v>4121</v>
      </c>
      <c r="Y299" s="62">
        <f t="shared" ref="Y299:Y316" si="107">V299+W299+X299</f>
        <v>284164</v>
      </c>
      <c r="Z299" s="62">
        <f t="shared" ref="Z299:Z316" si="108">Y299-C299</f>
        <v>0</v>
      </c>
      <c r="AC299" s="99"/>
      <c r="AF299" s="98"/>
      <c r="AH299" s="98"/>
    </row>
    <row r="300" spans="1:34" ht="34.5" customHeight="1" x14ac:dyDescent="0.25">
      <c r="A300" s="56" t="s">
        <v>24</v>
      </c>
      <c r="B300" s="54" t="s">
        <v>13</v>
      </c>
      <c r="C300" s="55">
        <f>1695780+58889</f>
        <v>1754669</v>
      </c>
      <c r="D300" s="55">
        <v>0</v>
      </c>
      <c r="E300" s="55">
        <f>96117+3338</f>
        <v>99455</v>
      </c>
      <c r="F300" s="55">
        <v>0</v>
      </c>
      <c r="G300" s="55">
        <f t="shared" si="101"/>
        <v>99455</v>
      </c>
      <c r="H300" s="63">
        <v>0</v>
      </c>
      <c r="I300" s="63">
        <f>1424710+49476</f>
        <v>1474186</v>
      </c>
      <c r="J300" s="63">
        <v>0</v>
      </c>
      <c r="K300" s="63">
        <f t="shared" si="102"/>
        <v>1474186</v>
      </c>
      <c r="L300" s="63">
        <v>0</v>
      </c>
      <c r="M300" s="63">
        <f>174953+6075</f>
        <v>181028</v>
      </c>
      <c r="N300" s="63">
        <v>0</v>
      </c>
      <c r="O300" s="63">
        <f t="shared" si="103"/>
        <v>181028</v>
      </c>
      <c r="R300" s="62">
        <f t="shared" si="104"/>
        <v>1754669</v>
      </c>
      <c r="S300" s="62">
        <f t="shared" si="105"/>
        <v>0</v>
      </c>
      <c r="V300" s="62">
        <f t="shared" si="106"/>
        <v>0</v>
      </c>
      <c r="W300" s="62">
        <f t="shared" si="100"/>
        <v>1754669</v>
      </c>
      <c r="X300" s="62">
        <f t="shared" si="100"/>
        <v>0</v>
      </c>
      <c r="Y300" s="62">
        <f t="shared" si="107"/>
        <v>1754669</v>
      </c>
      <c r="Z300" s="62">
        <f t="shared" si="108"/>
        <v>0</v>
      </c>
      <c r="AC300" s="99"/>
      <c r="AD300" s="99"/>
      <c r="AE300" s="99"/>
      <c r="AF300" s="98"/>
      <c r="AH300" s="98"/>
    </row>
    <row r="301" spans="1:34" ht="40.5" customHeight="1" x14ac:dyDescent="0.25">
      <c r="A301" s="56" t="s">
        <v>22</v>
      </c>
      <c r="B301" s="54" t="s">
        <v>12</v>
      </c>
      <c r="C301" s="55">
        <v>123557</v>
      </c>
      <c r="D301" s="55">
        <v>14213</v>
      </c>
      <c r="E301" s="55">
        <v>0</v>
      </c>
      <c r="F301" s="55">
        <v>0</v>
      </c>
      <c r="G301" s="55">
        <f t="shared" si="101"/>
        <v>14213</v>
      </c>
      <c r="H301" s="63">
        <v>92435</v>
      </c>
      <c r="I301" s="63">
        <v>0</v>
      </c>
      <c r="J301" s="63">
        <v>0</v>
      </c>
      <c r="K301" s="63">
        <f t="shared" si="102"/>
        <v>92435</v>
      </c>
      <c r="L301" s="63">
        <v>16909</v>
      </c>
      <c r="M301" s="63">
        <v>0</v>
      </c>
      <c r="N301" s="63">
        <v>0</v>
      </c>
      <c r="O301" s="63">
        <f t="shared" si="103"/>
        <v>16909</v>
      </c>
      <c r="R301" s="62">
        <f t="shared" si="104"/>
        <v>123557</v>
      </c>
      <c r="S301" s="62">
        <f t="shared" si="105"/>
        <v>0</v>
      </c>
      <c r="V301" s="62">
        <f t="shared" si="106"/>
        <v>123557</v>
      </c>
      <c r="W301" s="62">
        <f t="shared" si="100"/>
        <v>0</v>
      </c>
      <c r="X301" s="62">
        <f t="shared" si="100"/>
        <v>0</v>
      </c>
      <c r="Y301" s="62">
        <f t="shared" si="107"/>
        <v>123557</v>
      </c>
      <c r="Z301" s="62">
        <f t="shared" si="108"/>
        <v>0</v>
      </c>
      <c r="AC301" s="99"/>
      <c r="AF301" s="98"/>
      <c r="AH301" s="98"/>
    </row>
    <row r="302" spans="1:34" ht="39.75" customHeight="1" x14ac:dyDescent="0.25">
      <c r="A302" s="56" t="s">
        <v>23</v>
      </c>
      <c r="B302" s="54" t="s">
        <v>11</v>
      </c>
      <c r="C302" s="55">
        <f>142105+37483</f>
        <v>179588</v>
      </c>
      <c r="D302" s="55">
        <f>5576+1472</f>
        <v>7048</v>
      </c>
      <c r="E302" s="55">
        <f>8806+2322</f>
        <v>11128</v>
      </c>
      <c r="F302" s="55">
        <f>3786+999</f>
        <v>4785</v>
      </c>
      <c r="G302" s="55">
        <f t="shared" si="101"/>
        <v>22961</v>
      </c>
      <c r="H302" s="63">
        <f>29578+7807</f>
        <v>37385</v>
      </c>
      <c r="I302" s="63">
        <f>46714+12317</f>
        <v>59031</v>
      </c>
      <c r="J302" s="63">
        <f>20085+5297</f>
        <v>25382</v>
      </c>
      <c r="K302" s="63">
        <f t="shared" si="102"/>
        <v>121798</v>
      </c>
      <c r="L302" s="63">
        <f>8458+2232</f>
        <v>10690</v>
      </c>
      <c r="M302" s="63">
        <f>13358+3522</f>
        <v>16880</v>
      </c>
      <c r="N302" s="63">
        <f>5744+1515</f>
        <v>7259</v>
      </c>
      <c r="O302" s="63">
        <f t="shared" si="103"/>
        <v>34829</v>
      </c>
      <c r="R302" s="62">
        <f t="shared" si="104"/>
        <v>179588</v>
      </c>
      <c r="S302" s="62">
        <f t="shared" si="105"/>
        <v>0</v>
      </c>
      <c r="V302" s="62">
        <f t="shared" si="106"/>
        <v>55123</v>
      </c>
      <c r="W302" s="62">
        <f t="shared" si="100"/>
        <v>87039</v>
      </c>
      <c r="X302" s="62">
        <f t="shared" si="100"/>
        <v>37426</v>
      </c>
      <c r="Y302" s="62">
        <f t="shared" si="107"/>
        <v>179588</v>
      </c>
      <c r="Z302" s="62">
        <f t="shared" si="108"/>
        <v>0</v>
      </c>
      <c r="AC302" s="99"/>
      <c r="AD302" s="99"/>
      <c r="AE302" s="99"/>
      <c r="AF302" s="98"/>
      <c r="AH302" s="98"/>
    </row>
    <row r="303" spans="1:34" ht="28.5" customHeight="1" x14ac:dyDescent="0.25">
      <c r="A303" s="56" t="s">
        <v>20</v>
      </c>
      <c r="B303" s="54" t="s">
        <v>34</v>
      </c>
      <c r="C303" s="55">
        <v>239410</v>
      </c>
      <c r="D303" s="55">
        <v>44813</v>
      </c>
      <c r="E303" s="55">
        <v>0</v>
      </c>
      <c r="F303" s="55">
        <v>0</v>
      </c>
      <c r="G303" s="55">
        <f t="shared" si="101"/>
        <v>44813</v>
      </c>
      <c r="H303" s="63">
        <v>146272</v>
      </c>
      <c r="I303" s="63">
        <v>0</v>
      </c>
      <c r="J303" s="63">
        <v>0</v>
      </c>
      <c r="K303" s="63">
        <f t="shared" si="102"/>
        <v>146272</v>
      </c>
      <c r="L303" s="63">
        <v>48325</v>
      </c>
      <c r="M303" s="63">
        <v>0</v>
      </c>
      <c r="N303" s="63">
        <v>0</v>
      </c>
      <c r="O303" s="63">
        <f t="shared" si="103"/>
        <v>48325</v>
      </c>
      <c r="R303" s="62">
        <f t="shared" si="104"/>
        <v>239410</v>
      </c>
      <c r="S303" s="62">
        <f t="shared" si="105"/>
        <v>0</v>
      </c>
      <c r="V303" s="62">
        <f t="shared" si="106"/>
        <v>239410</v>
      </c>
      <c r="W303" s="62">
        <f t="shared" si="100"/>
        <v>0</v>
      </c>
      <c r="X303" s="62">
        <f t="shared" si="100"/>
        <v>0</v>
      </c>
      <c r="Y303" s="62">
        <f t="shared" si="107"/>
        <v>239410</v>
      </c>
      <c r="Z303" s="62">
        <f t="shared" si="108"/>
        <v>0</v>
      </c>
      <c r="AC303" s="99"/>
      <c r="AF303" s="98"/>
      <c r="AH303" s="98"/>
    </row>
    <row r="304" spans="1:34" ht="34.5" customHeight="1" x14ac:dyDescent="0.25">
      <c r="A304" s="56" t="s">
        <v>22</v>
      </c>
      <c r="B304" s="54" t="s">
        <v>10</v>
      </c>
      <c r="C304" s="55">
        <f>1105362+7612</f>
        <v>1112974</v>
      </c>
      <c r="D304" s="55">
        <f>24003+165</f>
        <v>24168</v>
      </c>
      <c r="E304" s="55">
        <f>31394+216</f>
        <v>31610</v>
      </c>
      <c r="F304" s="55">
        <f>1496+10</f>
        <v>1506</v>
      </c>
      <c r="G304" s="55">
        <f t="shared" si="101"/>
        <v>57284</v>
      </c>
      <c r="H304" s="63">
        <f>373324+2571</f>
        <v>375895</v>
      </c>
      <c r="I304" s="63">
        <f>488268+3363</f>
        <v>491631</v>
      </c>
      <c r="J304" s="63">
        <f>23272+160</f>
        <v>23432</v>
      </c>
      <c r="K304" s="63">
        <f t="shared" si="102"/>
        <v>890958</v>
      </c>
      <c r="L304" s="63">
        <f>69025+476</f>
        <v>69501</v>
      </c>
      <c r="M304" s="63">
        <f>90277+622</f>
        <v>90899</v>
      </c>
      <c r="N304" s="63">
        <f>4303+29</f>
        <v>4332</v>
      </c>
      <c r="O304" s="63">
        <f t="shared" si="103"/>
        <v>164732</v>
      </c>
      <c r="R304" s="62">
        <f t="shared" si="104"/>
        <v>1112974</v>
      </c>
      <c r="S304" s="62">
        <f t="shared" si="105"/>
        <v>0</v>
      </c>
      <c r="V304" s="62">
        <f t="shared" si="106"/>
        <v>469564</v>
      </c>
      <c r="W304" s="62">
        <f t="shared" si="100"/>
        <v>614140</v>
      </c>
      <c r="X304" s="62">
        <f t="shared" si="100"/>
        <v>29270</v>
      </c>
      <c r="Y304" s="62">
        <f t="shared" si="107"/>
        <v>1112974</v>
      </c>
      <c r="Z304" s="62">
        <f t="shared" si="108"/>
        <v>0</v>
      </c>
      <c r="AC304" s="99"/>
      <c r="AD304" s="99"/>
      <c r="AE304" s="99"/>
      <c r="AF304" s="98"/>
      <c r="AH304" s="98"/>
    </row>
    <row r="305" spans="1:34" ht="25.5" customHeight="1" x14ac:dyDescent="0.25">
      <c r="A305" s="56" t="s">
        <v>21</v>
      </c>
      <c r="B305" s="54" t="s">
        <v>9</v>
      </c>
      <c r="C305" s="55">
        <f>896894+431355</f>
        <v>1328249</v>
      </c>
      <c r="D305" s="55">
        <f>89132+44181</f>
        <v>133313</v>
      </c>
      <c r="E305" s="55">
        <f>124107+58421</f>
        <v>182528</v>
      </c>
      <c r="F305" s="55">
        <f>2787+1294</f>
        <v>4081</v>
      </c>
      <c r="G305" s="55">
        <f t="shared" si="101"/>
        <v>319922</v>
      </c>
      <c r="H305" s="63">
        <f>278506+138052</f>
        <v>416558</v>
      </c>
      <c r="I305" s="63">
        <f>387789+182543</f>
        <v>570332</v>
      </c>
      <c r="J305" s="63">
        <f>8707+4043</f>
        <v>12750</v>
      </c>
      <c r="K305" s="63">
        <f t="shared" si="102"/>
        <v>999640</v>
      </c>
      <c r="L305" s="63">
        <f>2420+1200</f>
        <v>3620</v>
      </c>
      <c r="M305" s="63">
        <f>3370+1586</f>
        <v>4956</v>
      </c>
      <c r="N305" s="63">
        <f>76+35</f>
        <v>111</v>
      </c>
      <c r="O305" s="63">
        <f t="shared" si="103"/>
        <v>8687</v>
      </c>
      <c r="R305" s="62">
        <f t="shared" si="104"/>
        <v>1328249</v>
      </c>
      <c r="S305" s="62">
        <f t="shared" si="105"/>
        <v>0</v>
      </c>
      <c r="V305" s="62">
        <f t="shared" si="106"/>
        <v>553491</v>
      </c>
      <c r="W305" s="62">
        <f t="shared" si="100"/>
        <v>757816</v>
      </c>
      <c r="X305" s="62">
        <f t="shared" si="100"/>
        <v>16942</v>
      </c>
      <c r="Y305" s="62">
        <f t="shared" si="107"/>
        <v>1328249</v>
      </c>
      <c r="Z305" s="62">
        <f t="shared" si="108"/>
        <v>0</v>
      </c>
      <c r="AC305" s="99"/>
      <c r="AD305" s="99"/>
      <c r="AE305" s="99"/>
      <c r="AF305" s="98"/>
      <c r="AH305" s="98"/>
    </row>
    <row r="306" spans="1:34" ht="25.5" customHeight="1" x14ac:dyDescent="0.25">
      <c r="A306" s="56" t="s">
        <v>25</v>
      </c>
      <c r="B306" s="54" t="s">
        <v>8</v>
      </c>
      <c r="C306" s="55">
        <v>1420854</v>
      </c>
      <c r="D306" s="55">
        <v>9536</v>
      </c>
      <c r="E306" s="55">
        <v>46588</v>
      </c>
      <c r="F306" s="55">
        <v>0</v>
      </c>
      <c r="G306" s="55">
        <f t="shared" si="101"/>
        <v>56124</v>
      </c>
      <c r="H306" s="63">
        <v>154759</v>
      </c>
      <c r="I306" s="63">
        <v>756122</v>
      </c>
      <c r="J306" s="63">
        <v>0</v>
      </c>
      <c r="K306" s="63">
        <f t="shared" si="102"/>
        <v>910881</v>
      </c>
      <c r="L306" s="63">
        <v>77109</v>
      </c>
      <c r="M306" s="63">
        <v>376740</v>
      </c>
      <c r="N306" s="63">
        <v>0</v>
      </c>
      <c r="O306" s="63">
        <f t="shared" si="103"/>
        <v>453849</v>
      </c>
      <c r="R306" s="62">
        <f t="shared" si="104"/>
        <v>1420854</v>
      </c>
      <c r="S306" s="62">
        <f t="shared" si="105"/>
        <v>0</v>
      </c>
      <c r="V306" s="62">
        <f t="shared" si="106"/>
        <v>241404</v>
      </c>
      <c r="W306" s="62">
        <f t="shared" si="100"/>
        <v>1179450</v>
      </c>
      <c r="X306" s="62">
        <f t="shared" si="100"/>
        <v>0</v>
      </c>
      <c r="Y306" s="62">
        <f t="shared" si="107"/>
        <v>1420854</v>
      </c>
      <c r="Z306" s="62">
        <f t="shared" si="108"/>
        <v>0</v>
      </c>
      <c r="AC306" s="99"/>
      <c r="AF306" s="98"/>
      <c r="AH306" s="98"/>
    </row>
    <row r="307" spans="1:34" ht="25.5" customHeight="1" x14ac:dyDescent="0.25">
      <c r="A307" s="56" t="s">
        <v>26</v>
      </c>
      <c r="B307" s="54" t="s">
        <v>7</v>
      </c>
      <c r="C307" s="55">
        <v>703414</v>
      </c>
      <c r="D307" s="55">
        <v>1604</v>
      </c>
      <c r="E307" s="55">
        <v>11248</v>
      </c>
      <c r="F307" s="55">
        <v>0</v>
      </c>
      <c r="G307" s="55">
        <f t="shared" si="101"/>
        <v>12852</v>
      </c>
      <c r="H307" s="63">
        <v>78356</v>
      </c>
      <c r="I307" s="63">
        <v>549497</v>
      </c>
      <c r="J307" s="63">
        <v>0</v>
      </c>
      <c r="K307" s="63">
        <f t="shared" si="102"/>
        <v>627853</v>
      </c>
      <c r="L307" s="63">
        <v>7826</v>
      </c>
      <c r="M307" s="63">
        <v>54883</v>
      </c>
      <c r="N307" s="63">
        <v>0</v>
      </c>
      <c r="O307" s="63">
        <f t="shared" si="103"/>
        <v>62709</v>
      </c>
      <c r="R307" s="62">
        <f t="shared" si="104"/>
        <v>703414</v>
      </c>
      <c r="S307" s="62">
        <f t="shared" si="105"/>
        <v>0</v>
      </c>
      <c r="V307" s="62">
        <f t="shared" si="106"/>
        <v>87786</v>
      </c>
      <c r="W307" s="62">
        <f t="shared" si="100"/>
        <v>615628</v>
      </c>
      <c r="X307" s="62">
        <f t="shared" si="100"/>
        <v>0</v>
      </c>
      <c r="Y307" s="62">
        <f t="shared" si="107"/>
        <v>703414</v>
      </c>
      <c r="Z307" s="62">
        <f t="shared" si="108"/>
        <v>0</v>
      </c>
      <c r="AC307" s="99"/>
      <c r="AF307" s="98"/>
      <c r="AH307" s="98"/>
    </row>
    <row r="308" spans="1:34" ht="25.5" customHeight="1" x14ac:dyDescent="0.25">
      <c r="A308" s="56" t="s">
        <v>20</v>
      </c>
      <c r="B308" s="54" t="s">
        <v>6</v>
      </c>
      <c r="C308" s="55">
        <f>458896+622839</f>
        <v>1081735</v>
      </c>
      <c r="D308" s="55">
        <f>1637+2164</f>
        <v>3801</v>
      </c>
      <c r="E308" s="55">
        <f>1521+2123</f>
        <v>3644</v>
      </c>
      <c r="F308" s="55">
        <f>41+54</f>
        <v>95</v>
      </c>
      <c r="G308" s="55">
        <f t="shared" si="101"/>
        <v>7540</v>
      </c>
      <c r="H308" s="63">
        <f>232783+307849</f>
        <v>540632</v>
      </c>
      <c r="I308" s="63">
        <f>216402+301986</f>
        <v>518388</v>
      </c>
      <c r="J308" s="63">
        <f>5824+7728</f>
        <v>13552</v>
      </c>
      <c r="K308" s="63">
        <f t="shared" si="102"/>
        <v>1072572</v>
      </c>
      <c r="L308" s="63">
        <f>352+466</f>
        <v>818</v>
      </c>
      <c r="M308" s="63">
        <f>327+457</f>
        <v>784</v>
      </c>
      <c r="N308" s="63">
        <f>9+12</f>
        <v>21</v>
      </c>
      <c r="O308" s="63">
        <f t="shared" si="103"/>
        <v>1623</v>
      </c>
      <c r="R308" s="62">
        <f t="shared" si="104"/>
        <v>1081735</v>
      </c>
      <c r="S308" s="62">
        <f t="shared" si="105"/>
        <v>0</v>
      </c>
      <c r="V308" s="62">
        <f t="shared" si="106"/>
        <v>545251</v>
      </c>
      <c r="W308" s="62">
        <f t="shared" si="100"/>
        <v>522816</v>
      </c>
      <c r="X308" s="62">
        <f t="shared" si="100"/>
        <v>13668</v>
      </c>
      <c r="Y308" s="62">
        <f t="shared" si="107"/>
        <v>1081735</v>
      </c>
      <c r="Z308" s="62">
        <f t="shared" si="108"/>
        <v>0</v>
      </c>
      <c r="AC308" s="99"/>
      <c r="AD308" s="99"/>
      <c r="AE308" s="99"/>
      <c r="AF308" s="98"/>
      <c r="AH308" s="98"/>
    </row>
    <row r="309" spans="1:34" ht="25.5" customHeight="1" x14ac:dyDescent="0.25">
      <c r="A309" s="56" t="s">
        <v>19</v>
      </c>
      <c r="B309" s="54" t="s">
        <v>5</v>
      </c>
      <c r="C309" s="55">
        <f>728497+913326</f>
        <v>1641823</v>
      </c>
      <c r="D309" s="55">
        <f>20853+32504</f>
        <v>53357</v>
      </c>
      <c r="E309" s="55">
        <f>75077+88715</f>
        <v>163792</v>
      </c>
      <c r="F309" s="55">
        <f>4857+5139</f>
        <v>9996</v>
      </c>
      <c r="G309" s="55">
        <f t="shared" si="101"/>
        <v>227145</v>
      </c>
      <c r="H309" s="63">
        <f>128609+200468</f>
        <v>329077</v>
      </c>
      <c r="I309" s="63">
        <f>463028+547141</f>
        <v>1010169</v>
      </c>
      <c r="J309" s="63">
        <f>29961+31696</f>
        <v>61657</v>
      </c>
      <c r="K309" s="63">
        <f t="shared" si="102"/>
        <v>1400903</v>
      </c>
      <c r="L309" s="63">
        <f>1264+1971</f>
        <v>3235</v>
      </c>
      <c r="M309" s="63">
        <f>4553+5380</f>
        <v>9933</v>
      </c>
      <c r="N309" s="63">
        <f>295+312</f>
        <v>607</v>
      </c>
      <c r="O309" s="63">
        <f t="shared" si="103"/>
        <v>13775</v>
      </c>
      <c r="R309" s="62">
        <f t="shared" si="104"/>
        <v>1641823</v>
      </c>
      <c r="S309" s="62">
        <f t="shared" si="105"/>
        <v>0</v>
      </c>
      <c r="V309" s="62">
        <f t="shared" si="106"/>
        <v>385669</v>
      </c>
      <c r="W309" s="62">
        <f t="shared" si="100"/>
        <v>1183894</v>
      </c>
      <c r="X309" s="62">
        <f t="shared" si="100"/>
        <v>72260</v>
      </c>
      <c r="Y309" s="62">
        <f t="shared" si="107"/>
        <v>1641823</v>
      </c>
      <c r="Z309" s="62">
        <f t="shared" si="108"/>
        <v>0</v>
      </c>
      <c r="AC309" s="99"/>
      <c r="AD309" s="99"/>
      <c r="AE309" s="99"/>
      <c r="AF309" s="98"/>
      <c r="AH309" s="98"/>
    </row>
    <row r="310" spans="1:34" ht="25.5" customHeight="1" x14ac:dyDescent="0.25">
      <c r="A310" s="56" t="s">
        <v>18</v>
      </c>
      <c r="B310" s="54" t="s">
        <v>4</v>
      </c>
      <c r="C310" s="55">
        <f>470406+675441</f>
        <v>1145847</v>
      </c>
      <c r="D310" s="55">
        <f>9122+13098</f>
        <v>22220</v>
      </c>
      <c r="E310" s="55">
        <f>15371+22072</f>
        <v>37443</v>
      </c>
      <c r="F310" s="55">
        <f>636+913</f>
        <v>1549</v>
      </c>
      <c r="G310" s="55">
        <f t="shared" si="101"/>
        <v>61212</v>
      </c>
      <c r="H310" s="63">
        <f>156296+224415</f>
        <v>380711</v>
      </c>
      <c r="I310" s="63">
        <f>263378+378186</f>
        <v>641564</v>
      </c>
      <c r="J310" s="63">
        <f>10893+15636</f>
        <v>26529</v>
      </c>
      <c r="K310" s="63">
        <f t="shared" si="102"/>
        <v>1048804</v>
      </c>
      <c r="L310" s="63">
        <f>5340+7667</f>
        <v>13007</v>
      </c>
      <c r="M310" s="63">
        <f>8998+12920</f>
        <v>21918</v>
      </c>
      <c r="N310" s="63">
        <f>372+534</f>
        <v>906</v>
      </c>
      <c r="O310" s="63">
        <f t="shared" si="103"/>
        <v>35831</v>
      </c>
      <c r="R310" s="62">
        <f t="shared" si="104"/>
        <v>1145847</v>
      </c>
      <c r="S310" s="62">
        <f t="shared" si="105"/>
        <v>0</v>
      </c>
      <c r="V310" s="62">
        <f t="shared" si="106"/>
        <v>415938</v>
      </c>
      <c r="W310" s="62">
        <f t="shared" si="100"/>
        <v>700925</v>
      </c>
      <c r="X310" s="62">
        <f t="shared" si="100"/>
        <v>28984</v>
      </c>
      <c r="Y310" s="62">
        <f t="shared" si="107"/>
        <v>1145847</v>
      </c>
      <c r="Z310" s="62">
        <f t="shared" si="108"/>
        <v>0</v>
      </c>
      <c r="AC310" s="99"/>
      <c r="AD310" s="99"/>
      <c r="AE310" s="99"/>
      <c r="AF310" s="98"/>
      <c r="AH310" s="98"/>
    </row>
    <row r="311" spans="1:34" ht="25.5" customHeight="1" x14ac:dyDescent="0.25">
      <c r="A311" s="56" t="s">
        <v>25</v>
      </c>
      <c r="B311" s="54" t="s">
        <v>3</v>
      </c>
      <c r="C311" s="55">
        <f>912752+170050</f>
        <v>1082802</v>
      </c>
      <c r="D311" s="55">
        <f>43749+8151</f>
        <v>51900</v>
      </c>
      <c r="E311" s="55">
        <f>21538+4012</f>
        <v>25550</v>
      </c>
      <c r="F311" s="55">
        <f>2019+377</f>
        <v>2396</v>
      </c>
      <c r="G311" s="55">
        <f t="shared" si="101"/>
        <v>79846</v>
      </c>
      <c r="H311" s="63">
        <f>488811+91066</f>
        <v>579877</v>
      </c>
      <c r="I311" s="63">
        <f>240645+44829</f>
        <v>285474</v>
      </c>
      <c r="J311" s="63">
        <f>22561+4208</f>
        <v>26769</v>
      </c>
      <c r="K311" s="63">
        <f t="shared" si="102"/>
        <v>892120</v>
      </c>
      <c r="L311" s="63">
        <f>60729+11314</f>
        <v>72043</v>
      </c>
      <c r="M311" s="63">
        <f>29897+5570</f>
        <v>35467</v>
      </c>
      <c r="N311" s="63">
        <f>2803+523</f>
        <v>3326</v>
      </c>
      <c r="O311" s="63">
        <f t="shared" si="103"/>
        <v>110836</v>
      </c>
      <c r="R311" s="62">
        <f t="shared" si="104"/>
        <v>1082802</v>
      </c>
      <c r="S311" s="62">
        <f t="shared" si="105"/>
        <v>0</v>
      </c>
      <c r="V311" s="62">
        <f t="shared" si="106"/>
        <v>703820</v>
      </c>
      <c r="W311" s="62">
        <f t="shared" si="100"/>
        <v>346491</v>
      </c>
      <c r="X311" s="62">
        <f t="shared" si="100"/>
        <v>32491</v>
      </c>
      <c r="Y311" s="62">
        <f t="shared" si="107"/>
        <v>1082802</v>
      </c>
      <c r="Z311" s="62">
        <f t="shared" si="108"/>
        <v>0</v>
      </c>
      <c r="AC311" s="99"/>
      <c r="AD311" s="99"/>
      <c r="AE311" s="99"/>
      <c r="AF311" s="98"/>
      <c r="AH311" s="98"/>
    </row>
    <row r="312" spans="1:34" ht="54" customHeight="1" x14ac:dyDescent="0.25">
      <c r="A312" s="56" t="s">
        <v>30</v>
      </c>
      <c r="B312" s="54" t="s">
        <v>2</v>
      </c>
      <c r="C312" s="55">
        <v>97209</v>
      </c>
      <c r="D312" s="55">
        <v>2753</v>
      </c>
      <c r="E312" s="55">
        <v>0</v>
      </c>
      <c r="F312" s="55">
        <v>0</v>
      </c>
      <c r="G312" s="55">
        <f t="shared" si="101"/>
        <v>2753</v>
      </c>
      <c r="H312" s="63">
        <v>81380</v>
      </c>
      <c r="I312" s="63">
        <v>0</v>
      </c>
      <c r="J312" s="63">
        <v>0</v>
      </c>
      <c r="K312" s="63">
        <f t="shared" si="102"/>
        <v>81380</v>
      </c>
      <c r="L312" s="63">
        <v>13076</v>
      </c>
      <c r="M312" s="63">
        <v>0</v>
      </c>
      <c r="N312" s="63">
        <v>0</v>
      </c>
      <c r="O312" s="63">
        <f t="shared" si="103"/>
        <v>13076</v>
      </c>
      <c r="R312" s="62">
        <f t="shared" si="104"/>
        <v>97209</v>
      </c>
      <c r="S312" s="62">
        <f t="shared" si="105"/>
        <v>0</v>
      </c>
      <c r="V312" s="62">
        <f t="shared" si="106"/>
        <v>97209</v>
      </c>
      <c r="W312" s="62">
        <f t="shared" si="100"/>
        <v>0</v>
      </c>
      <c r="X312" s="62">
        <f t="shared" si="100"/>
        <v>0</v>
      </c>
      <c r="Y312" s="62">
        <f t="shared" si="107"/>
        <v>97209</v>
      </c>
      <c r="Z312" s="62">
        <f t="shared" si="108"/>
        <v>0</v>
      </c>
    </row>
    <row r="313" spans="1:34" ht="39.75" customHeight="1" x14ac:dyDescent="0.25">
      <c r="A313" s="56" t="s">
        <v>31</v>
      </c>
      <c r="B313" s="54" t="s">
        <v>1</v>
      </c>
      <c r="C313" s="55">
        <v>48664</v>
      </c>
      <c r="D313" s="55">
        <v>3620</v>
      </c>
      <c r="E313" s="55">
        <v>0</v>
      </c>
      <c r="F313" s="55">
        <v>0</v>
      </c>
      <c r="G313" s="55">
        <f t="shared" si="101"/>
        <v>3620</v>
      </c>
      <c r="H313" s="63">
        <v>43081</v>
      </c>
      <c r="I313" s="63">
        <v>0</v>
      </c>
      <c r="J313" s="63">
        <v>0</v>
      </c>
      <c r="K313" s="63">
        <f t="shared" si="102"/>
        <v>43081</v>
      </c>
      <c r="L313" s="63">
        <v>1963</v>
      </c>
      <c r="M313" s="63">
        <v>0</v>
      </c>
      <c r="N313" s="63">
        <v>0</v>
      </c>
      <c r="O313" s="63">
        <f t="shared" si="103"/>
        <v>1963</v>
      </c>
      <c r="R313" s="62">
        <f t="shared" si="104"/>
        <v>48664</v>
      </c>
      <c r="S313" s="62">
        <f t="shared" si="105"/>
        <v>0</v>
      </c>
      <c r="V313" s="62">
        <f t="shared" si="106"/>
        <v>48664</v>
      </c>
      <c r="W313" s="62">
        <f t="shared" si="100"/>
        <v>0</v>
      </c>
      <c r="X313" s="62">
        <f t="shared" si="100"/>
        <v>0</v>
      </c>
      <c r="Y313" s="62">
        <f t="shared" si="107"/>
        <v>48664</v>
      </c>
      <c r="Z313" s="62">
        <f t="shared" si="108"/>
        <v>0</v>
      </c>
    </row>
    <row r="314" spans="1:34" ht="33" customHeight="1" x14ac:dyDescent="0.25">
      <c r="A314" s="56" t="s">
        <v>32</v>
      </c>
      <c r="B314" s="54" t="s">
        <v>73</v>
      </c>
      <c r="C314" s="55">
        <v>41245</v>
      </c>
      <c r="D314" s="55">
        <v>8112</v>
      </c>
      <c r="E314" s="55">
        <v>0</v>
      </c>
      <c r="F314" s="55">
        <v>0</v>
      </c>
      <c r="G314" s="55">
        <f t="shared" si="101"/>
        <v>8112</v>
      </c>
      <c r="H314" s="63">
        <v>26556</v>
      </c>
      <c r="I314" s="63">
        <v>0</v>
      </c>
      <c r="J314" s="63">
        <v>0</v>
      </c>
      <c r="K314" s="63">
        <f t="shared" si="102"/>
        <v>26556</v>
      </c>
      <c r="L314" s="63">
        <v>6577</v>
      </c>
      <c r="M314" s="63">
        <v>0</v>
      </c>
      <c r="N314" s="63">
        <v>0</v>
      </c>
      <c r="O314" s="63">
        <f t="shared" si="103"/>
        <v>6577</v>
      </c>
      <c r="R314" s="62">
        <f t="shared" si="104"/>
        <v>41245</v>
      </c>
      <c r="S314" s="62">
        <f t="shared" si="105"/>
        <v>0</v>
      </c>
      <c r="V314" s="62">
        <f t="shared" si="106"/>
        <v>41245</v>
      </c>
      <c r="W314" s="62">
        <f t="shared" si="100"/>
        <v>0</v>
      </c>
      <c r="X314" s="62">
        <f t="shared" si="100"/>
        <v>0</v>
      </c>
      <c r="Y314" s="62">
        <f t="shared" si="107"/>
        <v>41245</v>
      </c>
      <c r="Z314" s="62">
        <f t="shared" si="108"/>
        <v>0</v>
      </c>
    </row>
    <row r="315" spans="1:34" ht="33" customHeight="1" x14ac:dyDescent="0.25">
      <c r="A315" s="56" t="s">
        <v>90</v>
      </c>
      <c r="B315" s="70" t="s">
        <v>91</v>
      </c>
      <c r="C315" s="55">
        <f>E315+I315+M315</f>
        <v>61662</v>
      </c>
      <c r="D315" s="55">
        <v>0</v>
      </c>
      <c r="E315" s="55">
        <v>10436</v>
      </c>
      <c r="F315" s="55">
        <v>0</v>
      </c>
      <c r="G315" s="55">
        <f t="shared" si="101"/>
        <v>10436</v>
      </c>
      <c r="H315" s="63">
        <v>0</v>
      </c>
      <c r="I315" s="63">
        <v>34306</v>
      </c>
      <c r="J315" s="63">
        <v>0</v>
      </c>
      <c r="K315" s="63">
        <f t="shared" si="102"/>
        <v>34306</v>
      </c>
      <c r="L315" s="63">
        <v>0</v>
      </c>
      <c r="M315" s="63">
        <v>16920</v>
      </c>
      <c r="N315" s="63">
        <v>0</v>
      </c>
      <c r="O315" s="63">
        <f t="shared" si="103"/>
        <v>16920</v>
      </c>
      <c r="R315" s="62">
        <f t="shared" si="104"/>
        <v>61662</v>
      </c>
      <c r="S315" s="62">
        <f>R315-C315</f>
        <v>0</v>
      </c>
      <c r="V315" s="62">
        <f t="shared" si="106"/>
        <v>0</v>
      </c>
      <c r="W315" s="62">
        <f t="shared" si="100"/>
        <v>61662</v>
      </c>
      <c r="X315" s="62">
        <f t="shared" si="100"/>
        <v>0</v>
      </c>
      <c r="Y315" s="62">
        <f t="shared" si="107"/>
        <v>61662</v>
      </c>
      <c r="Z315" s="62">
        <f t="shared" si="108"/>
        <v>0</v>
      </c>
    </row>
    <row r="316" spans="1:34" ht="25.5" customHeight="1" x14ac:dyDescent="0.25">
      <c r="A316" s="57"/>
      <c r="B316" s="57" t="s">
        <v>0</v>
      </c>
      <c r="C316" s="58">
        <f>SUM(C298:C315)</f>
        <v>18459007</v>
      </c>
      <c r="D316" s="58">
        <f t="shared" ref="D316:O316" si="109">SUM(D298:D315)</f>
        <v>519562</v>
      </c>
      <c r="E316" s="58">
        <f t="shared" si="109"/>
        <v>1495870</v>
      </c>
      <c r="F316" s="58">
        <f t="shared" si="109"/>
        <v>25262</v>
      </c>
      <c r="G316" s="58">
        <f t="shared" si="109"/>
        <v>2040694</v>
      </c>
      <c r="H316" s="58">
        <f t="shared" si="109"/>
        <v>3829685</v>
      </c>
      <c r="I316" s="58">
        <f t="shared" si="109"/>
        <v>10035172</v>
      </c>
      <c r="J316" s="58">
        <f t="shared" si="109"/>
        <v>192580</v>
      </c>
      <c r="K316" s="58">
        <f t="shared" si="109"/>
        <v>14057437</v>
      </c>
      <c r="L316" s="58">
        <f t="shared" si="109"/>
        <v>501043</v>
      </c>
      <c r="M316" s="58">
        <f t="shared" si="109"/>
        <v>1842513</v>
      </c>
      <c r="N316" s="58">
        <f t="shared" si="109"/>
        <v>17320</v>
      </c>
      <c r="O316" s="58">
        <f t="shared" si="109"/>
        <v>2360876</v>
      </c>
      <c r="R316" s="62">
        <f>G316+K316+O316</f>
        <v>18459007</v>
      </c>
      <c r="S316" s="62">
        <f t="shared" si="105"/>
        <v>0</v>
      </c>
      <c r="V316" s="62">
        <f t="shared" si="106"/>
        <v>4850290</v>
      </c>
      <c r="W316" s="62">
        <f t="shared" si="100"/>
        <v>13373555</v>
      </c>
      <c r="X316" s="62">
        <f t="shared" si="100"/>
        <v>235162</v>
      </c>
      <c r="Y316" s="62">
        <f t="shared" si="107"/>
        <v>18459007</v>
      </c>
      <c r="Z316" s="62">
        <f t="shared" si="108"/>
        <v>0</v>
      </c>
    </row>
    <row r="318" spans="1:34" s="4" customFormat="1" ht="28.5" customHeight="1" x14ac:dyDescent="0.25">
      <c r="A318" s="152" t="s">
        <v>17</v>
      </c>
      <c r="B318" s="152" t="s">
        <v>33</v>
      </c>
      <c r="C318" s="152" t="s">
        <v>86</v>
      </c>
      <c r="D318" s="152" t="s">
        <v>69</v>
      </c>
      <c r="E318" s="152"/>
      <c r="F318" s="152"/>
      <c r="G318" s="152"/>
      <c r="H318" s="152"/>
      <c r="I318" s="152"/>
      <c r="J318" s="152"/>
      <c r="K318" s="152"/>
      <c r="L318" s="152"/>
      <c r="M318" s="152"/>
      <c r="N318" s="152"/>
      <c r="O318" s="152"/>
      <c r="R318" s="61"/>
      <c r="S318" s="61"/>
      <c r="V318" s="61"/>
      <c r="W318" s="61"/>
      <c r="X318" s="61"/>
      <c r="Y318" s="61"/>
      <c r="Z318" s="61"/>
      <c r="AC318" s="95"/>
      <c r="AD318" s="95"/>
      <c r="AE318" s="95"/>
      <c r="AF318" s="95"/>
      <c r="AG318" s="93"/>
      <c r="AH318" s="95"/>
    </row>
    <row r="319" spans="1:34" s="4" customFormat="1" ht="41.25" customHeight="1" x14ac:dyDescent="0.25">
      <c r="A319" s="152"/>
      <c r="B319" s="152"/>
      <c r="C319" s="152"/>
      <c r="D319" s="154" t="s">
        <v>36</v>
      </c>
      <c r="E319" s="154"/>
      <c r="F319" s="154"/>
      <c r="G319" s="154"/>
      <c r="H319" s="155" t="s">
        <v>37</v>
      </c>
      <c r="I319" s="156"/>
      <c r="J319" s="156"/>
      <c r="K319" s="157"/>
      <c r="L319" s="155" t="s">
        <v>38</v>
      </c>
      <c r="M319" s="156"/>
      <c r="N319" s="156"/>
      <c r="O319" s="157"/>
      <c r="R319" s="61"/>
      <c r="S319" s="61"/>
      <c r="V319" s="61"/>
      <c r="W319" s="61"/>
      <c r="X319" s="61"/>
      <c r="Y319" s="61"/>
      <c r="Z319" s="61"/>
      <c r="AC319" s="95"/>
      <c r="AD319" s="95"/>
      <c r="AE319" s="95"/>
      <c r="AF319" s="95"/>
      <c r="AG319" s="93"/>
      <c r="AH319" s="95"/>
    </row>
    <row r="320" spans="1:34" s="4" customFormat="1" ht="59.25" customHeight="1" x14ac:dyDescent="0.25">
      <c r="A320" s="152"/>
      <c r="B320" s="152"/>
      <c r="C320" s="152"/>
      <c r="D320" s="83" t="s">
        <v>66</v>
      </c>
      <c r="E320" s="83" t="s">
        <v>67</v>
      </c>
      <c r="F320" s="83" t="s">
        <v>68</v>
      </c>
      <c r="G320" s="83" t="s">
        <v>70</v>
      </c>
      <c r="H320" s="65" t="s">
        <v>66</v>
      </c>
      <c r="I320" s="65" t="s">
        <v>67</v>
      </c>
      <c r="J320" s="65" t="s">
        <v>68</v>
      </c>
      <c r="K320" s="65" t="s">
        <v>71</v>
      </c>
      <c r="L320" s="65" t="s">
        <v>66</v>
      </c>
      <c r="M320" s="65" t="s">
        <v>67</v>
      </c>
      <c r="N320" s="65" t="s">
        <v>68</v>
      </c>
      <c r="O320" s="65" t="s">
        <v>72</v>
      </c>
      <c r="R320" s="61"/>
      <c r="S320" s="61"/>
      <c r="V320" s="61" t="s">
        <v>44</v>
      </c>
      <c r="W320" s="61" t="s">
        <v>96</v>
      </c>
      <c r="X320" s="61" t="s">
        <v>97</v>
      </c>
      <c r="Y320" s="61"/>
      <c r="Z320" s="61"/>
      <c r="AC320" s="95"/>
      <c r="AD320" s="95"/>
      <c r="AE320" s="95"/>
      <c r="AF320" s="95"/>
      <c r="AG320" s="93"/>
      <c r="AH320" s="95"/>
    </row>
    <row r="321" spans="1:34" s="3" customFormat="1" ht="14.25" customHeight="1" x14ac:dyDescent="0.25">
      <c r="A321" s="53">
        <v>1</v>
      </c>
      <c r="B321" s="53">
        <v>2</v>
      </c>
      <c r="C321" s="53">
        <v>3</v>
      </c>
      <c r="D321" s="53">
        <v>4</v>
      </c>
      <c r="E321" s="53">
        <v>5</v>
      </c>
      <c r="F321" s="53">
        <v>6</v>
      </c>
      <c r="G321" s="53">
        <v>7</v>
      </c>
      <c r="H321" s="66">
        <v>8</v>
      </c>
      <c r="I321" s="66">
        <v>9</v>
      </c>
      <c r="J321" s="66">
        <v>10</v>
      </c>
      <c r="K321" s="66">
        <v>11</v>
      </c>
      <c r="L321" s="66">
        <v>12</v>
      </c>
      <c r="M321" s="66">
        <v>13</v>
      </c>
      <c r="N321" s="66">
        <v>14</v>
      </c>
      <c r="O321" s="66">
        <v>15</v>
      </c>
      <c r="R321" s="61"/>
      <c r="S321" s="61"/>
      <c r="V321" s="61"/>
      <c r="W321" s="61"/>
      <c r="X321" s="61"/>
      <c r="Y321" s="61"/>
      <c r="Z321" s="61"/>
      <c r="AC321" s="95"/>
      <c r="AD321" s="95"/>
      <c r="AE321" s="95"/>
      <c r="AF321" s="95"/>
      <c r="AG321" s="94"/>
      <c r="AH321" s="95"/>
    </row>
    <row r="322" spans="1:34" s="3" customFormat="1" ht="25.5" customHeight="1" x14ac:dyDescent="0.25">
      <c r="A322" s="53" t="s">
        <v>16</v>
      </c>
      <c r="B322" s="54" t="s">
        <v>15</v>
      </c>
      <c r="C322" s="55">
        <f>3916096+525070</f>
        <v>4441166</v>
      </c>
      <c r="D322" s="55">
        <f>116523+15611</f>
        <v>132134</v>
      </c>
      <c r="E322" s="55">
        <f>494505+66315</f>
        <v>560820</v>
      </c>
      <c r="F322" s="55">
        <v>0</v>
      </c>
      <c r="G322" s="55">
        <f>D322+E322+F322</f>
        <v>692954</v>
      </c>
      <c r="H322" s="63">
        <f>491334+65826</f>
        <v>557160</v>
      </c>
      <c r="I322" s="63">
        <f>2085144+279628</f>
        <v>2364772</v>
      </c>
      <c r="J322" s="63">
        <v>0</v>
      </c>
      <c r="K322" s="63">
        <f>H322+I322+J322</f>
        <v>2921932</v>
      </c>
      <c r="L322" s="63">
        <f>138942+18615</f>
        <v>157557</v>
      </c>
      <c r="M322" s="63">
        <f>589648+79075</f>
        <v>668723</v>
      </c>
      <c r="N322" s="63">
        <v>0</v>
      </c>
      <c r="O322" s="63">
        <f>L322+M322+N322</f>
        <v>826280</v>
      </c>
      <c r="R322" s="62">
        <f>G322+K322+O322</f>
        <v>4441166</v>
      </c>
      <c r="S322" s="62">
        <f>R322-C322</f>
        <v>0</v>
      </c>
      <c r="V322" s="62">
        <f>D322+H322+L322</f>
        <v>846851</v>
      </c>
      <c r="W322" s="62">
        <f t="shared" ref="W322:X340" si="110">E322+I322+M322</f>
        <v>3594315</v>
      </c>
      <c r="X322" s="62">
        <f t="shared" si="110"/>
        <v>0</v>
      </c>
      <c r="Y322" s="62">
        <f>V322+W322+X322</f>
        <v>4441166</v>
      </c>
      <c r="Z322" s="62">
        <f>Y322-C322</f>
        <v>0</v>
      </c>
      <c r="AC322" s="99"/>
      <c r="AD322" s="99"/>
      <c r="AE322" s="99"/>
      <c r="AF322" s="98"/>
      <c r="AG322" s="92"/>
      <c r="AH322" s="98"/>
    </row>
    <row r="323" spans="1:34" ht="40.5" customHeight="1" x14ac:dyDescent="0.25">
      <c r="A323" s="56" t="s">
        <v>24</v>
      </c>
      <c r="B323" s="54" t="s">
        <v>14</v>
      </c>
      <c r="C323" s="55">
        <v>303177</v>
      </c>
      <c r="D323" s="55">
        <v>35106</v>
      </c>
      <c r="E323" s="55">
        <v>26864</v>
      </c>
      <c r="F323" s="55">
        <v>854</v>
      </c>
      <c r="G323" s="55">
        <f t="shared" ref="G323:G339" si="111">D323+E323+F323</f>
        <v>62824</v>
      </c>
      <c r="H323" s="63">
        <v>103171</v>
      </c>
      <c r="I323" s="63">
        <v>78947</v>
      </c>
      <c r="J323" s="63">
        <v>2511</v>
      </c>
      <c r="K323" s="63">
        <f t="shared" ref="K323:K339" si="112">H323+I323+J323</f>
        <v>184629</v>
      </c>
      <c r="L323" s="63">
        <v>31138</v>
      </c>
      <c r="M323" s="63">
        <v>23828</v>
      </c>
      <c r="N323" s="63">
        <v>758</v>
      </c>
      <c r="O323" s="63">
        <f t="shared" ref="O323:O339" si="113">L323+M323+N323</f>
        <v>55724</v>
      </c>
      <c r="R323" s="62">
        <f t="shared" ref="R323:R340" si="114">G323+K323+O323</f>
        <v>303177</v>
      </c>
      <c r="S323" s="62">
        <f t="shared" ref="S323:S340" si="115">R323-C323</f>
        <v>0</v>
      </c>
      <c r="V323" s="62">
        <f t="shared" ref="V323:V340" si="116">D323+H323+L323</f>
        <v>169415</v>
      </c>
      <c r="W323" s="62">
        <f t="shared" si="110"/>
        <v>129639</v>
      </c>
      <c r="X323" s="62">
        <f t="shared" si="110"/>
        <v>4123</v>
      </c>
      <c r="Y323" s="62">
        <f t="shared" ref="Y323:Y340" si="117">V323+W323+X323</f>
        <v>303177</v>
      </c>
      <c r="Z323" s="62">
        <f t="shared" ref="Z323:Z340" si="118">Y323-C323</f>
        <v>0</v>
      </c>
      <c r="AC323" s="99"/>
      <c r="AF323" s="98"/>
      <c r="AH323" s="98"/>
    </row>
    <row r="324" spans="1:34" ht="34.5" customHeight="1" x14ac:dyDescent="0.25">
      <c r="A324" s="56" t="s">
        <v>24</v>
      </c>
      <c r="B324" s="54" t="s">
        <v>13</v>
      </c>
      <c r="C324" s="55">
        <f>2321762+80694</f>
        <v>2402456</v>
      </c>
      <c r="D324" s="55">
        <v>0</v>
      </c>
      <c r="E324" s="55">
        <f>131598+4574</f>
        <v>136172</v>
      </c>
      <c r="F324" s="55">
        <v>0</v>
      </c>
      <c r="G324" s="55">
        <f t="shared" si="111"/>
        <v>136172</v>
      </c>
      <c r="H324" s="63">
        <v>0</v>
      </c>
      <c r="I324" s="63">
        <f>1950628+67795</f>
        <v>2018423</v>
      </c>
      <c r="J324" s="63">
        <v>0</v>
      </c>
      <c r="K324" s="63">
        <f t="shared" si="112"/>
        <v>2018423</v>
      </c>
      <c r="L324" s="63">
        <v>0</v>
      </c>
      <c r="M324" s="63">
        <f>239536+8325</f>
        <v>247861</v>
      </c>
      <c r="N324" s="63">
        <v>0</v>
      </c>
      <c r="O324" s="63">
        <f t="shared" si="113"/>
        <v>247861</v>
      </c>
      <c r="R324" s="62">
        <f t="shared" si="114"/>
        <v>2402456</v>
      </c>
      <c r="S324" s="62">
        <f t="shared" si="115"/>
        <v>0</v>
      </c>
      <c r="V324" s="62">
        <f t="shared" si="116"/>
        <v>0</v>
      </c>
      <c r="W324" s="62">
        <f t="shared" si="110"/>
        <v>2402456</v>
      </c>
      <c r="X324" s="62">
        <f t="shared" si="110"/>
        <v>0</v>
      </c>
      <c r="Y324" s="62">
        <f t="shared" si="117"/>
        <v>2402456</v>
      </c>
      <c r="Z324" s="62">
        <f t="shared" si="118"/>
        <v>0</v>
      </c>
      <c r="AC324" s="99"/>
      <c r="AD324" s="99"/>
      <c r="AE324" s="99"/>
      <c r="AF324" s="98"/>
      <c r="AH324" s="98"/>
    </row>
    <row r="325" spans="1:34" ht="40.5" customHeight="1" x14ac:dyDescent="0.25">
      <c r="A325" s="56" t="s">
        <v>22</v>
      </c>
      <c r="B325" s="54" t="s">
        <v>12</v>
      </c>
      <c r="C325" s="55">
        <v>158288</v>
      </c>
      <c r="D325" s="55">
        <v>18208</v>
      </c>
      <c r="E325" s="55">
        <v>0</v>
      </c>
      <c r="F325" s="55">
        <v>0</v>
      </c>
      <c r="G325" s="55">
        <f t="shared" si="111"/>
        <v>18208</v>
      </c>
      <c r="H325" s="63">
        <v>118418</v>
      </c>
      <c r="I325" s="63">
        <v>0</v>
      </c>
      <c r="J325" s="63">
        <v>0</v>
      </c>
      <c r="K325" s="63">
        <f t="shared" si="112"/>
        <v>118418</v>
      </c>
      <c r="L325" s="63">
        <v>21662</v>
      </c>
      <c r="M325" s="63">
        <v>0</v>
      </c>
      <c r="N325" s="63">
        <v>0</v>
      </c>
      <c r="O325" s="63">
        <f t="shared" si="113"/>
        <v>21662</v>
      </c>
      <c r="R325" s="62">
        <f t="shared" si="114"/>
        <v>158288</v>
      </c>
      <c r="S325" s="62">
        <f t="shared" si="115"/>
        <v>0</v>
      </c>
      <c r="V325" s="62">
        <f t="shared" si="116"/>
        <v>158288</v>
      </c>
      <c r="W325" s="62">
        <f t="shared" si="110"/>
        <v>0</v>
      </c>
      <c r="X325" s="62">
        <f t="shared" si="110"/>
        <v>0</v>
      </c>
      <c r="Y325" s="62">
        <f t="shared" si="117"/>
        <v>158288</v>
      </c>
      <c r="Z325" s="62">
        <f t="shared" si="118"/>
        <v>0</v>
      </c>
      <c r="AC325" s="99"/>
      <c r="AF325" s="98"/>
      <c r="AH325" s="98"/>
    </row>
    <row r="326" spans="1:34" ht="39.75" customHeight="1" x14ac:dyDescent="0.25">
      <c r="A326" s="56" t="s">
        <v>23</v>
      </c>
      <c r="B326" s="54" t="s">
        <v>11</v>
      </c>
      <c r="C326" s="55">
        <f>144013+38001</f>
        <v>182014</v>
      </c>
      <c r="D326" s="55">
        <f>5634+1487</f>
        <v>7121</v>
      </c>
      <c r="E326" s="55">
        <f>8924+2355</f>
        <v>11279</v>
      </c>
      <c r="F326" s="55">
        <f>3854+1017</f>
        <v>4871</v>
      </c>
      <c r="G326" s="55">
        <f t="shared" si="111"/>
        <v>23271</v>
      </c>
      <c r="H326" s="63">
        <f>29887+7887</f>
        <v>37774</v>
      </c>
      <c r="I326" s="63">
        <f>47341+12490</f>
        <v>59831</v>
      </c>
      <c r="J326" s="63">
        <f>20443+5395</f>
        <v>25838</v>
      </c>
      <c r="K326" s="63">
        <f t="shared" si="112"/>
        <v>123443</v>
      </c>
      <c r="L326" s="63">
        <f>8546+2255</f>
        <v>10801</v>
      </c>
      <c r="M326" s="63">
        <f>13538+3572</f>
        <v>17110</v>
      </c>
      <c r="N326" s="63">
        <f>5846+1543</f>
        <v>7389</v>
      </c>
      <c r="O326" s="63">
        <f t="shared" si="113"/>
        <v>35300</v>
      </c>
      <c r="R326" s="62">
        <f t="shared" si="114"/>
        <v>182014</v>
      </c>
      <c r="S326" s="62">
        <f t="shared" si="115"/>
        <v>0</v>
      </c>
      <c r="V326" s="62">
        <f t="shared" si="116"/>
        <v>55696</v>
      </c>
      <c r="W326" s="62">
        <f t="shared" si="110"/>
        <v>88220</v>
      </c>
      <c r="X326" s="62">
        <f t="shared" si="110"/>
        <v>38098</v>
      </c>
      <c r="Y326" s="62">
        <f t="shared" si="117"/>
        <v>182014</v>
      </c>
      <c r="Z326" s="62">
        <f t="shared" si="118"/>
        <v>0</v>
      </c>
      <c r="AC326" s="99"/>
      <c r="AD326" s="99"/>
      <c r="AE326" s="99"/>
      <c r="AF326" s="98"/>
      <c r="AH326" s="98"/>
    </row>
    <row r="327" spans="1:34" ht="28.5" customHeight="1" x14ac:dyDescent="0.25">
      <c r="A327" s="56" t="s">
        <v>20</v>
      </c>
      <c r="B327" s="54" t="s">
        <v>34</v>
      </c>
      <c r="C327" s="55">
        <v>296145</v>
      </c>
      <c r="D327" s="55">
        <v>55432</v>
      </c>
      <c r="E327" s="55">
        <v>0</v>
      </c>
      <c r="F327" s="55">
        <v>0</v>
      </c>
      <c r="G327" s="55">
        <f t="shared" si="111"/>
        <v>55432</v>
      </c>
      <c r="H327" s="63">
        <v>180936</v>
      </c>
      <c r="I327" s="63">
        <v>0</v>
      </c>
      <c r="J327" s="63">
        <v>0</v>
      </c>
      <c r="K327" s="63">
        <f t="shared" si="112"/>
        <v>180936</v>
      </c>
      <c r="L327" s="63">
        <v>59777</v>
      </c>
      <c r="M327" s="63">
        <v>0</v>
      </c>
      <c r="N327" s="63">
        <v>0</v>
      </c>
      <c r="O327" s="63">
        <f t="shared" si="113"/>
        <v>59777</v>
      </c>
      <c r="R327" s="62">
        <f t="shared" si="114"/>
        <v>296145</v>
      </c>
      <c r="S327" s="62">
        <f t="shared" si="115"/>
        <v>0</v>
      </c>
      <c r="V327" s="62">
        <f t="shared" si="116"/>
        <v>296145</v>
      </c>
      <c r="W327" s="62">
        <f t="shared" si="110"/>
        <v>0</v>
      </c>
      <c r="X327" s="62">
        <f t="shared" si="110"/>
        <v>0</v>
      </c>
      <c r="Y327" s="62">
        <f t="shared" si="117"/>
        <v>296145</v>
      </c>
      <c r="Z327" s="62">
        <f t="shared" si="118"/>
        <v>0</v>
      </c>
      <c r="AC327" s="99"/>
      <c r="AF327" s="98"/>
      <c r="AH327" s="98"/>
    </row>
    <row r="328" spans="1:34" ht="34.5" customHeight="1" x14ac:dyDescent="0.25">
      <c r="A328" s="56" t="s">
        <v>22</v>
      </c>
      <c r="B328" s="54" t="s">
        <v>10</v>
      </c>
      <c r="C328" s="55">
        <f>1058024+7286</f>
        <v>1065310</v>
      </c>
      <c r="D328" s="55">
        <f>22986+158</f>
        <v>23144</v>
      </c>
      <c r="E328" s="55">
        <f>30065+207</f>
        <v>30272</v>
      </c>
      <c r="F328" s="55">
        <f>1405+10</f>
        <v>1415</v>
      </c>
      <c r="G328" s="55">
        <f t="shared" si="111"/>
        <v>54831</v>
      </c>
      <c r="H328" s="63">
        <f>357506+2462</f>
        <v>359968</v>
      </c>
      <c r="I328" s="63">
        <f>467612+3219</f>
        <v>470831</v>
      </c>
      <c r="J328" s="63">
        <f>21852+152</f>
        <v>22004</v>
      </c>
      <c r="K328" s="63">
        <f t="shared" si="112"/>
        <v>852803</v>
      </c>
      <c r="L328" s="63">
        <f>66100+455</f>
        <v>66555</v>
      </c>
      <c r="M328" s="63">
        <f>86458+595</f>
        <v>87053</v>
      </c>
      <c r="N328" s="63">
        <f>4040+28</f>
        <v>4068</v>
      </c>
      <c r="O328" s="63">
        <f t="shared" si="113"/>
        <v>157676</v>
      </c>
      <c r="R328" s="62">
        <f t="shared" si="114"/>
        <v>1065310</v>
      </c>
      <c r="S328" s="62">
        <f t="shared" si="115"/>
        <v>0</v>
      </c>
      <c r="V328" s="62">
        <f t="shared" si="116"/>
        <v>449667</v>
      </c>
      <c r="W328" s="62">
        <f t="shared" si="110"/>
        <v>588156</v>
      </c>
      <c r="X328" s="62">
        <f t="shared" si="110"/>
        <v>27487</v>
      </c>
      <c r="Y328" s="62">
        <f t="shared" si="117"/>
        <v>1065310</v>
      </c>
      <c r="Z328" s="62">
        <f t="shared" si="118"/>
        <v>0</v>
      </c>
      <c r="AC328" s="99"/>
      <c r="AD328" s="99"/>
      <c r="AE328" s="99"/>
      <c r="AF328" s="98"/>
      <c r="AH328" s="98"/>
    </row>
    <row r="329" spans="1:34" ht="25.5" customHeight="1" x14ac:dyDescent="0.25">
      <c r="A329" s="56" t="s">
        <v>21</v>
      </c>
      <c r="B329" s="54" t="s">
        <v>9</v>
      </c>
      <c r="C329" s="55">
        <f>924607+443518</f>
        <v>1368125</v>
      </c>
      <c r="D329" s="55">
        <f>80840+40074</f>
        <v>120914</v>
      </c>
      <c r="E329" s="55">
        <f>137073+64528</f>
        <v>201601</v>
      </c>
      <c r="F329" s="55">
        <f>4788+2224</f>
        <v>7012</v>
      </c>
      <c r="G329" s="55">
        <f t="shared" si="111"/>
        <v>329527</v>
      </c>
      <c r="H329" s="63">
        <f>252597+125218</f>
        <v>377815</v>
      </c>
      <c r="I329" s="63">
        <f>428301+201626</f>
        <v>629927</v>
      </c>
      <c r="J329" s="63">
        <f>14961+6948</f>
        <v>21909</v>
      </c>
      <c r="K329" s="63">
        <f t="shared" si="112"/>
        <v>1029651</v>
      </c>
      <c r="L329" s="63">
        <f>2195+1088</f>
        <v>3283</v>
      </c>
      <c r="M329" s="63">
        <f>3722+1752</f>
        <v>5474</v>
      </c>
      <c r="N329" s="63">
        <f>130+60</f>
        <v>190</v>
      </c>
      <c r="O329" s="63">
        <f t="shared" si="113"/>
        <v>8947</v>
      </c>
      <c r="R329" s="62">
        <f t="shared" si="114"/>
        <v>1368125</v>
      </c>
      <c r="S329" s="62">
        <f t="shared" si="115"/>
        <v>0</v>
      </c>
      <c r="V329" s="62">
        <f t="shared" si="116"/>
        <v>502012</v>
      </c>
      <c r="W329" s="62">
        <f t="shared" si="110"/>
        <v>837002</v>
      </c>
      <c r="X329" s="62">
        <f t="shared" si="110"/>
        <v>29111</v>
      </c>
      <c r="Y329" s="62">
        <f t="shared" si="117"/>
        <v>1368125</v>
      </c>
      <c r="Z329" s="62">
        <f t="shared" si="118"/>
        <v>0</v>
      </c>
      <c r="AC329" s="99"/>
      <c r="AD329" s="99"/>
      <c r="AE329" s="99"/>
      <c r="AF329" s="98"/>
      <c r="AH329" s="98"/>
    </row>
    <row r="330" spans="1:34" ht="25.5" customHeight="1" x14ac:dyDescent="0.25">
      <c r="A330" s="56" t="s">
        <v>25</v>
      </c>
      <c r="B330" s="54" t="s">
        <v>8</v>
      </c>
      <c r="C330" s="55">
        <v>1385517</v>
      </c>
      <c r="D330" s="55">
        <v>10037</v>
      </c>
      <c r="E330" s="55">
        <v>44691</v>
      </c>
      <c r="F330" s="55">
        <v>0</v>
      </c>
      <c r="G330" s="55">
        <f t="shared" si="111"/>
        <v>54728</v>
      </c>
      <c r="H330" s="63">
        <v>162901</v>
      </c>
      <c r="I330" s="63">
        <v>725326</v>
      </c>
      <c r="J330" s="63">
        <v>0</v>
      </c>
      <c r="K330" s="63">
        <f t="shared" si="112"/>
        <v>888227</v>
      </c>
      <c r="L330" s="63">
        <v>81166</v>
      </c>
      <c r="M330" s="63">
        <v>361396</v>
      </c>
      <c r="N330" s="63">
        <v>0</v>
      </c>
      <c r="O330" s="63">
        <f t="shared" si="113"/>
        <v>442562</v>
      </c>
      <c r="R330" s="62">
        <f t="shared" si="114"/>
        <v>1385517</v>
      </c>
      <c r="S330" s="62">
        <f t="shared" si="115"/>
        <v>0</v>
      </c>
      <c r="V330" s="62">
        <f t="shared" si="116"/>
        <v>254104</v>
      </c>
      <c r="W330" s="62">
        <f t="shared" si="110"/>
        <v>1131413</v>
      </c>
      <c r="X330" s="62">
        <f t="shared" si="110"/>
        <v>0</v>
      </c>
      <c r="Y330" s="62">
        <f t="shared" si="117"/>
        <v>1385517</v>
      </c>
      <c r="Z330" s="62">
        <f t="shared" si="118"/>
        <v>0</v>
      </c>
      <c r="AC330" s="99"/>
      <c r="AF330" s="98"/>
      <c r="AH330" s="98"/>
    </row>
    <row r="331" spans="1:34" ht="25.5" customHeight="1" x14ac:dyDescent="0.25">
      <c r="A331" s="56" t="s">
        <v>26</v>
      </c>
      <c r="B331" s="54" t="s">
        <v>7</v>
      </c>
      <c r="C331" s="55">
        <v>917031</v>
      </c>
      <c r="D331" s="55">
        <v>2022</v>
      </c>
      <c r="E331" s="55">
        <v>14732</v>
      </c>
      <c r="F331" s="55">
        <v>0</v>
      </c>
      <c r="G331" s="55">
        <f t="shared" si="111"/>
        <v>16754</v>
      </c>
      <c r="H331" s="63">
        <v>98796</v>
      </c>
      <c r="I331" s="63">
        <v>719728</v>
      </c>
      <c r="J331" s="63">
        <v>0</v>
      </c>
      <c r="K331" s="63">
        <f t="shared" si="112"/>
        <v>818524</v>
      </c>
      <c r="L331" s="63">
        <v>9868</v>
      </c>
      <c r="M331" s="63">
        <v>71885</v>
      </c>
      <c r="N331" s="63">
        <v>0</v>
      </c>
      <c r="O331" s="63">
        <f t="shared" si="113"/>
        <v>81753</v>
      </c>
      <c r="R331" s="62">
        <f t="shared" si="114"/>
        <v>917031</v>
      </c>
      <c r="S331" s="62">
        <f t="shared" si="115"/>
        <v>0</v>
      </c>
      <c r="V331" s="62">
        <f t="shared" si="116"/>
        <v>110686</v>
      </c>
      <c r="W331" s="62">
        <f t="shared" si="110"/>
        <v>806345</v>
      </c>
      <c r="X331" s="62">
        <f t="shared" si="110"/>
        <v>0</v>
      </c>
      <c r="Y331" s="62">
        <f t="shared" si="117"/>
        <v>917031</v>
      </c>
      <c r="Z331" s="62">
        <f t="shared" si="118"/>
        <v>0</v>
      </c>
      <c r="AC331" s="99"/>
      <c r="AF331" s="98"/>
      <c r="AH331" s="98"/>
    </row>
    <row r="332" spans="1:34" ht="25.5" customHeight="1" x14ac:dyDescent="0.25">
      <c r="A332" s="56" t="s">
        <v>20</v>
      </c>
      <c r="B332" s="54" t="s">
        <v>6</v>
      </c>
      <c r="C332" s="55">
        <f>631058+853408</f>
        <v>1484466</v>
      </c>
      <c r="D332" s="55">
        <f>2504+3311</f>
        <v>5815</v>
      </c>
      <c r="E332" s="55">
        <f>1820+2538</f>
        <v>4358</v>
      </c>
      <c r="F332" s="55">
        <f>74+99</f>
        <v>173</v>
      </c>
      <c r="G332" s="55">
        <f t="shared" si="111"/>
        <v>10346</v>
      </c>
      <c r="H332" s="63">
        <f>356281+470986</f>
        <v>827267</v>
      </c>
      <c r="I332" s="63">
        <f>258857+361082</f>
        <v>619939</v>
      </c>
      <c r="J332" s="63">
        <f>10575+14112</f>
        <v>24687</v>
      </c>
      <c r="K332" s="63">
        <f t="shared" si="112"/>
        <v>1471893</v>
      </c>
      <c r="L332" s="63">
        <f>539+713</f>
        <v>1252</v>
      </c>
      <c r="M332" s="63">
        <f>392+546</f>
        <v>938</v>
      </c>
      <c r="N332" s="63">
        <f>16+21</f>
        <v>37</v>
      </c>
      <c r="O332" s="63">
        <f t="shared" si="113"/>
        <v>2227</v>
      </c>
      <c r="R332" s="62">
        <f t="shared" si="114"/>
        <v>1484466</v>
      </c>
      <c r="S332" s="62">
        <f t="shared" si="115"/>
        <v>0</v>
      </c>
      <c r="V332" s="62">
        <f t="shared" si="116"/>
        <v>834334</v>
      </c>
      <c r="W332" s="62">
        <f t="shared" si="110"/>
        <v>625235</v>
      </c>
      <c r="X332" s="62">
        <f t="shared" si="110"/>
        <v>24897</v>
      </c>
      <c r="Y332" s="62">
        <f t="shared" si="117"/>
        <v>1484466</v>
      </c>
      <c r="Z332" s="62">
        <f t="shared" si="118"/>
        <v>0</v>
      </c>
      <c r="AC332" s="99"/>
      <c r="AD332" s="99"/>
      <c r="AE332" s="99"/>
      <c r="AF332" s="98"/>
      <c r="AH332" s="98"/>
    </row>
    <row r="333" spans="1:34" ht="25.5" customHeight="1" x14ac:dyDescent="0.25">
      <c r="A333" s="56" t="s">
        <v>19</v>
      </c>
      <c r="B333" s="54" t="s">
        <v>5</v>
      </c>
      <c r="C333" s="55">
        <f>728497+913327</f>
        <v>1641824</v>
      </c>
      <c r="D333" s="55">
        <f>20853+32504</f>
        <v>53357</v>
      </c>
      <c r="E333" s="55">
        <f>75077+88715</f>
        <v>163792</v>
      </c>
      <c r="F333" s="55">
        <f>4857+5139</f>
        <v>9996</v>
      </c>
      <c r="G333" s="55">
        <f t="shared" si="111"/>
        <v>227145</v>
      </c>
      <c r="H333" s="63">
        <f>128609+200468</f>
        <v>329077</v>
      </c>
      <c r="I333" s="63">
        <f>463028+547142</f>
        <v>1010170</v>
      </c>
      <c r="J333" s="63">
        <f>29961+31696</f>
        <v>61657</v>
      </c>
      <c r="K333" s="63">
        <f t="shared" si="112"/>
        <v>1400904</v>
      </c>
      <c r="L333" s="63">
        <f>1265+1971</f>
        <v>3236</v>
      </c>
      <c r="M333" s="63">
        <f>4553+5380</f>
        <v>9933</v>
      </c>
      <c r="N333" s="63">
        <f>294+312</f>
        <v>606</v>
      </c>
      <c r="O333" s="63">
        <f t="shared" si="113"/>
        <v>13775</v>
      </c>
      <c r="R333" s="62">
        <f t="shared" si="114"/>
        <v>1641824</v>
      </c>
      <c r="S333" s="62">
        <f t="shared" si="115"/>
        <v>0</v>
      </c>
      <c r="V333" s="62">
        <f t="shared" si="116"/>
        <v>385670</v>
      </c>
      <c r="W333" s="62">
        <f t="shared" si="110"/>
        <v>1183895</v>
      </c>
      <c r="X333" s="62">
        <f t="shared" si="110"/>
        <v>72259</v>
      </c>
      <c r="Y333" s="62">
        <f t="shared" si="117"/>
        <v>1641824</v>
      </c>
      <c r="Z333" s="62">
        <f t="shared" si="118"/>
        <v>0</v>
      </c>
      <c r="AC333" s="99"/>
      <c r="AD333" s="99"/>
      <c r="AE333" s="99"/>
      <c r="AF333" s="98"/>
      <c r="AH333" s="98"/>
    </row>
    <row r="334" spans="1:34" ht="25.5" customHeight="1" x14ac:dyDescent="0.25">
      <c r="A334" s="56" t="s">
        <v>18</v>
      </c>
      <c r="B334" s="54" t="s">
        <v>4</v>
      </c>
      <c r="C334" s="55">
        <f>630166+904986</f>
        <v>1535152</v>
      </c>
      <c r="D334" s="55">
        <f>12220+17549</f>
        <v>29769</v>
      </c>
      <c r="E334" s="55">
        <f>20592+29573</f>
        <v>50165</v>
      </c>
      <c r="F334" s="55">
        <f>852+1222</f>
        <v>2074</v>
      </c>
      <c r="G334" s="55">
        <f t="shared" si="111"/>
        <v>82008</v>
      </c>
      <c r="H334" s="63">
        <f>209377+300682</f>
        <v>510059</v>
      </c>
      <c r="I334" s="63">
        <f>352826+506711</f>
        <v>859537</v>
      </c>
      <c r="J334" s="63">
        <f>14593+20950</f>
        <v>35543</v>
      </c>
      <c r="K334" s="63">
        <f t="shared" si="112"/>
        <v>1405139</v>
      </c>
      <c r="L334" s="63">
        <f>7153+10272</f>
        <v>17425</v>
      </c>
      <c r="M334" s="63">
        <f>12054+17311</f>
        <v>29365</v>
      </c>
      <c r="N334" s="63">
        <f>499+716</f>
        <v>1215</v>
      </c>
      <c r="O334" s="63">
        <f t="shared" si="113"/>
        <v>48005</v>
      </c>
      <c r="R334" s="62">
        <f t="shared" si="114"/>
        <v>1535152</v>
      </c>
      <c r="S334" s="62">
        <f t="shared" si="115"/>
        <v>0</v>
      </c>
      <c r="V334" s="62">
        <f t="shared" si="116"/>
        <v>557253</v>
      </c>
      <c r="W334" s="62">
        <f t="shared" si="110"/>
        <v>939067</v>
      </c>
      <c r="X334" s="62">
        <f t="shared" si="110"/>
        <v>38832</v>
      </c>
      <c r="Y334" s="62">
        <f t="shared" si="117"/>
        <v>1535152</v>
      </c>
      <c r="Z334" s="62">
        <f t="shared" si="118"/>
        <v>0</v>
      </c>
      <c r="AC334" s="99"/>
      <c r="AD334" s="99"/>
      <c r="AE334" s="99"/>
      <c r="AF334" s="98"/>
      <c r="AH334" s="98"/>
    </row>
    <row r="335" spans="1:34" ht="25.5" customHeight="1" x14ac:dyDescent="0.25">
      <c r="A335" s="56" t="s">
        <v>25</v>
      </c>
      <c r="B335" s="54" t="s">
        <v>3</v>
      </c>
      <c r="C335" s="55">
        <f>912752+170051</f>
        <v>1082803</v>
      </c>
      <c r="D335" s="55">
        <f>43749+8151</f>
        <v>51900</v>
      </c>
      <c r="E335" s="55">
        <f>21538+4012</f>
        <v>25550</v>
      </c>
      <c r="F335" s="55">
        <f>2019+377</f>
        <v>2396</v>
      </c>
      <c r="G335" s="55">
        <f t="shared" si="111"/>
        <v>79846</v>
      </c>
      <c r="H335" s="63">
        <f>488811+91066</f>
        <v>579877</v>
      </c>
      <c r="I335" s="63">
        <f>240645+44829</f>
        <v>285474</v>
      </c>
      <c r="J335" s="63">
        <f>22561+4209</f>
        <v>26770</v>
      </c>
      <c r="K335" s="63">
        <f t="shared" si="112"/>
        <v>892121</v>
      </c>
      <c r="L335" s="63">
        <f>60729+11314</f>
        <v>72043</v>
      </c>
      <c r="M335" s="63">
        <f>29897+5570</f>
        <v>35467</v>
      </c>
      <c r="N335" s="63">
        <f>2803+523</f>
        <v>3326</v>
      </c>
      <c r="O335" s="63">
        <f t="shared" si="113"/>
        <v>110836</v>
      </c>
      <c r="R335" s="62">
        <f t="shared" si="114"/>
        <v>1082803</v>
      </c>
      <c r="S335" s="62">
        <f t="shared" si="115"/>
        <v>0</v>
      </c>
      <c r="V335" s="62">
        <f t="shared" si="116"/>
        <v>703820</v>
      </c>
      <c r="W335" s="62">
        <f t="shared" si="110"/>
        <v>346491</v>
      </c>
      <c r="X335" s="62">
        <f t="shared" si="110"/>
        <v>32492</v>
      </c>
      <c r="Y335" s="62">
        <f t="shared" si="117"/>
        <v>1082803</v>
      </c>
      <c r="Z335" s="62">
        <f t="shared" si="118"/>
        <v>0</v>
      </c>
      <c r="AC335" s="99"/>
      <c r="AD335" s="99"/>
      <c r="AE335" s="99"/>
      <c r="AF335" s="98"/>
      <c r="AH335" s="98"/>
    </row>
    <row r="336" spans="1:34" ht="54" customHeight="1" x14ac:dyDescent="0.25">
      <c r="A336" s="56" t="s">
        <v>30</v>
      </c>
      <c r="B336" s="54" t="s">
        <v>2</v>
      </c>
      <c r="C336" s="55">
        <v>91145</v>
      </c>
      <c r="D336" s="55">
        <v>2581</v>
      </c>
      <c r="E336" s="55">
        <v>0</v>
      </c>
      <c r="F336" s="55">
        <v>0</v>
      </c>
      <c r="G336" s="55">
        <f t="shared" si="111"/>
        <v>2581</v>
      </c>
      <c r="H336" s="63">
        <v>76304</v>
      </c>
      <c r="I336" s="63">
        <v>0</v>
      </c>
      <c r="J336" s="63">
        <v>0</v>
      </c>
      <c r="K336" s="63">
        <f t="shared" si="112"/>
        <v>76304</v>
      </c>
      <c r="L336" s="63">
        <v>12260</v>
      </c>
      <c r="M336" s="63">
        <v>0</v>
      </c>
      <c r="N336" s="63">
        <v>0</v>
      </c>
      <c r="O336" s="63">
        <f t="shared" si="113"/>
        <v>12260</v>
      </c>
      <c r="R336" s="62">
        <f t="shared" si="114"/>
        <v>91145</v>
      </c>
      <c r="S336" s="62">
        <f t="shared" si="115"/>
        <v>0</v>
      </c>
      <c r="V336" s="62">
        <f t="shared" si="116"/>
        <v>91145</v>
      </c>
      <c r="W336" s="62">
        <f t="shared" si="110"/>
        <v>0</v>
      </c>
      <c r="X336" s="62">
        <f t="shared" si="110"/>
        <v>0</v>
      </c>
      <c r="Y336" s="62">
        <f t="shared" si="117"/>
        <v>91145</v>
      </c>
      <c r="Z336" s="62">
        <f t="shared" si="118"/>
        <v>0</v>
      </c>
    </row>
    <row r="337" spans="1:34" ht="39.75" customHeight="1" x14ac:dyDescent="0.25">
      <c r="A337" s="56" t="s">
        <v>31</v>
      </c>
      <c r="B337" s="54" t="s">
        <v>1</v>
      </c>
      <c r="C337" s="55">
        <v>69093</v>
      </c>
      <c r="D337" s="55">
        <v>5139</v>
      </c>
      <c r="E337" s="55">
        <v>0</v>
      </c>
      <c r="F337" s="55">
        <v>0</v>
      </c>
      <c r="G337" s="55">
        <f t="shared" si="111"/>
        <v>5139</v>
      </c>
      <c r="H337" s="63">
        <v>61167</v>
      </c>
      <c r="I337" s="63">
        <v>0</v>
      </c>
      <c r="J337" s="63">
        <v>0</v>
      </c>
      <c r="K337" s="63">
        <f t="shared" si="112"/>
        <v>61167</v>
      </c>
      <c r="L337" s="63">
        <v>2787</v>
      </c>
      <c r="M337" s="63">
        <v>0</v>
      </c>
      <c r="N337" s="63">
        <v>0</v>
      </c>
      <c r="O337" s="63">
        <f t="shared" si="113"/>
        <v>2787</v>
      </c>
      <c r="R337" s="62">
        <f t="shared" si="114"/>
        <v>69093</v>
      </c>
      <c r="S337" s="62">
        <f t="shared" si="115"/>
        <v>0</v>
      </c>
      <c r="V337" s="62">
        <f t="shared" si="116"/>
        <v>69093</v>
      </c>
      <c r="W337" s="62">
        <f t="shared" si="110"/>
        <v>0</v>
      </c>
      <c r="X337" s="62">
        <f t="shared" si="110"/>
        <v>0</v>
      </c>
      <c r="Y337" s="62">
        <f t="shared" si="117"/>
        <v>69093</v>
      </c>
      <c r="Z337" s="62">
        <f t="shared" si="118"/>
        <v>0</v>
      </c>
    </row>
    <row r="338" spans="1:34" ht="33" customHeight="1" x14ac:dyDescent="0.25">
      <c r="A338" s="56" t="s">
        <v>32</v>
      </c>
      <c r="B338" s="54" t="s">
        <v>73</v>
      </c>
      <c r="C338" s="55">
        <v>41245</v>
      </c>
      <c r="D338" s="55">
        <v>8112</v>
      </c>
      <c r="E338" s="55">
        <v>0</v>
      </c>
      <c r="F338" s="55">
        <v>0</v>
      </c>
      <c r="G338" s="55">
        <f t="shared" si="111"/>
        <v>8112</v>
      </c>
      <c r="H338" s="63">
        <v>26556</v>
      </c>
      <c r="I338" s="63">
        <v>0</v>
      </c>
      <c r="J338" s="63">
        <v>0</v>
      </c>
      <c r="K338" s="63">
        <f t="shared" si="112"/>
        <v>26556</v>
      </c>
      <c r="L338" s="63">
        <v>6577</v>
      </c>
      <c r="M338" s="63">
        <v>0</v>
      </c>
      <c r="N338" s="63">
        <v>0</v>
      </c>
      <c r="O338" s="63">
        <f t="shared" si="113"/>
        <v>6577</v>
      </c>
      <c r="R338" s="62">
        <f t="shared" si="114"/>
        <v>41245</v>
      </c>
      <c r="S338" s="62">
        <f t="shared" si="115"/>
        <v>0</v>
      </c>
      <c r="V338" s="62">
        <f t="shared" si="116"/>
        <v>41245</v>
      </c>
      <c r="W338" s="62">
        <f t="shared" si="110"/>
        <v>0</v>
      </c>
      <c r="X338" s="62">
        <f t="shared" si="110"/>
        <v>0</v>
      </c>
      <c r="Y338" s="62">
        <f t="shared" si="117"/>
        <v>41245</v>
      </c>
      <c r="Z338" s="62">
        <f t="shared" si="118"/>
        <v>0</v>
      </c>
    </row>
    <row r="339" spans="1:34" ht="33" customHeight="1" x14ac:dyDescent="0.25">
      <c r="A339" s="56" t="s">
        <v>90</v>
      </c>
      <c r="B339" s="70" t="s">
        <v>91</v>
      </c>
      <c r="C339" s="55">
        <f>E339+I339+M339</f>
        <v>61662</v>
      </c>
      <c r="D339" s="55">
        <v>0</v>
      </c>
      <c r="E339" s="55">
        <v>10436</v>
      </c>
      <c r="F339" s="55">
        <v>0</v>
      </c>
      <c r="G339" s="55">
        <f t="shared" si="111"/>
        <v>10436</v>
      </c>
      <c r="H339" s="63">
        <v>0</v>
      </c>
      <c r="I339" s="63">
        <v>34306</v>
      </c>
      <c r="J339" s="63">
        <v>0</v>
      </c>
      <c r="K339" s="63">
        <f t="shared" si="112"/>
        <v>34306</v>
      </c>
      <c r="L339" s="63">
        <v>0</v>
      </c>
      <c r="M339" s="63">
        <v>16920</v>
      </c>
      <c r="N339" s="63">
        <v>0</v>
      </c>
      <c r="O339" s="63">
        <f t="shared" si="113"/>
        <v>16920</v>
      </c>
      <c r="R339" s="62">
        <f t="shared" si="114"/>
        <v>61662</v>
      </c>
      <c r="S339" s="62">
        <f>R339-C339</f>
        <v>0</v>
      </c>
      <c r="V339" s="62">
        <f t="shared" si="116"/>
        <v>0</v>
      </c>
      <c r="W339" s="62">
        <f t="shared" si="110"/>
        <v>61662</v>
      </c>
      <c r="X339" s="62">
        <f t="shared" si="110"/>
        <v>0</v>
      </c>
      <c r="Y339" s="62">
        <f t="shared" si="117"/>
        <v>61662</v>
      </c>
      <c r="Z339" s="62">
        <f t="shared" si="118"/>
        <v>0</v>
      </c>
    </row>
    <row r="340" spans="1:34" ht="25.5" customHeight="1" x14ac:dyDescent="0.25">
      <c r="A340" s="57"/>
      <c r="B340" s="57" t="s">
        <v>0</v>
      </c>
      <c r="C340" s="58">
        <f>SUM(C322:C339)</f>
        <v>18526619</v>
      </c>
      <c r="D340" s="58">
        <f t="shared" ref="D340:O340" si="119">SUM(D322:D339)</f>
        <v>560791</v>
      </c>
      <c r="E340" s="58">
        <f t="shared" si="119"/>
        <v>1280732</v>
      </c>
      <c r="F340" s="58">
        <f t="shared" si="119"/>
        <v>28791</v>
      </c>
      <c r="G340" s="58">
        <f t="shared" si="119"/>
        <v>1870314</v>
      </c>
      <c r="H340" s="58">
        <f t="shared" si="119"/>
        <v>4407246</v>
      </c>
      <c r="I340" s="58">
        <f t="shared" si="119"/>
        <v>9877211</v>
      </c>
      <c r="J340" s="58">
        <f t="shared" si="119"/>
        <v>220919</v>
      </c>
      <c r="K340" s="58">
        <f t="shared" si="119"/>
        <v>14505376</v>
      </c>
      <c r="L340" s="58">
        <f t="shared" si="119"/>
        <v>557387</v>
      </c>
      <c r="M340" s="58">
        <f t="shared" si="119"/>
        <v>1575953</v>
      </c>
      <c r="N340" s="58">
        <f t="shared" si="119"/>
        <v>17589</v>
      </c>
      <c r="O340" s="58">
        <f t="shared" si="119"/>
        <v>2150929</v>
      </c>
      <c r="R340" s="62">
        <f t="shared" si="114"/>
        <v>18526619</v>
      </c>
      <c r="S340" s="62">
        <f t="shared" si="115"/>
        <v>0</v>
      </c>
      <c r="V340" s="62">
        <f t="shared" si="116"/>
        <v>5525424</v>
      </c>
      <c r="W340" s="62">
        <f t="shared" si="110"/>
        <v>12733896</v>
      </c>
      <c r="X340" s="62">
        <f t="shared" si="110"/>
        <v>267299</v>
      </c>
      <c r="Y340" s="62">
        <f t="shared" si="117"/>
        <v>18526619</v>
      </c>
      <c r="Z340" s="62">
        <f t="shared" si="118"/>
        <v>0</v>
      </c>
    </row>
    <row r="342" spans="1:34" x14ac:dyDescent="0.25">
      <c r="A342" s="161" t="s">
        <v>95</v>
      </c>
      <c r="B342" s="161"/>
      <c r="C342" s="161"/>
      <c r="D342" s="161"/>
      <c r="E342" s="161"/>
      <c r="F342" s="161"/>
      <c r="G342" s="161"/>
      <c r="H342" s="161"/>
      <c r="I342" s="161"/>
      <c r="J342" s="161"/>
      <c r="K342" s="161"/>
      <c r="L342" s="161"/>
      <c r="M342" s="161"/>
      <c r="N342" s="161"/>
      <c r="O342" s="161"/>
    </row>
    <row r="343" spans="1:34" s="4" customFormat="1" ht="28.5" customHeight="1" x14ac:dyDescent="0.25">
      <c r="A343" s="152" t="s">
        <v>17</v>
      </c>
      <c r="B343" s="152" t="s">
        <v>33</v>
      </c>
      <c r="C343" s="152" t="s">
        <v>87</v>
      </c>
      <c r="D343" s="152" t="s">
        <v>69</v>
      </c>
      <c r="E343" s="152"/>
      <c r="F343" s="152"/>
      <c r="G343" s="152"/>
      <c r="H343" s="152"/>
      <c r="I343" s="152"/>
      <c r="J343" s="152"/>
      <c r="K343" s="152"/>
      <c r="L343" s="152"/>
      <c r="M343" s="152"/>
      <c r="N343" s="152"/>
      <c r="O343" s="152"/>
      <c r="R343" s="61"/>
      <c r="S343" s="61"/>
      <c r="V343" s="61"/>
      <c r="W343" s="61"/>
      <c r="X343" s="61"/>
      <c r="Y343" s="61"/>
      <c r="Z343" s="61"/>
      <c r="AC343" s="95"/>
      <c r="AD343" s="95"/>
      <c r="AE343" s="95"/>
      <c r="AF343" s="95"/>
      <c r="AG343" s="93"/>
      <c r="AH343" s="95"/>
    </row>
    <row r="344" spans="1:34" s="4" customFormat="1" ht="41.25" customHeight="1" x14ac:dyDescent="0.25">
      <c r="A344" s="152"/>
      <c r="B344" s="152"/>
      <c r="C344" s="152"/>
      <c r="D344" s="154" t="s">
        <v>36</v>
      </c>
      <c r="E344" s="154"/>
      <c r="F344" s="154"/>
      <c r="G344" s="154"/>
      <c r="H344" s="155" t="s">
        <v>37</v>
      </c>
      <c r="I344" s="156"/>
      <c r="J344" s="156"/>
      <c r="K344" s="157"/>
      <c r="L344" s="155" t="s">
        <v>38</v>
      </c>
      <c r="M344" s="156"/>
      <c r="N344" s="156"/>
      <c r="O344" s="157"/>
      <c r="R344" s="61"/>
      <c r="S344" s="61"/>
      <c r="V344" s="61"/>
      <c r="W344" s="61"/>
      <c r="X344" s="61"/>
      <c r="Y344" s="61"/>
      <c r="Z344" s="61"/>
      <c r="AC344" s="95"/>
      <c r="AD344" s="95"/>
      <c r="AE344" s="95"/>
      <c r="AF344" s="95"/>
      <c r="AG344" s="93"/>
      <c r="AH344" s="95"/>
    </row>
    <row r="345" spans="1:34" s="4" customFormat="1" ht="59.25" customHeight="1" x14ac:dyDescent="0.25">
      <c r="A345" s="152"/>
      <c r="B345" s="152"/>
      <c r="C345" s="152"/>
      <c r="D345" s="83" t="s">
        <v>66</v>
      </c>
      <c r="E345" s="83" t="s">
        <v>67</v>
      </c>
      <c r="F345" s="83" t="s">
        <v>68</v>
      </c>
      <c r="G345" s="83" t="s">
        <v>70</v>
      </c>
      <c r="H345" s="65" t="s">
        <v>66</v>
      </c>
      <c r="I345" s="65" t="s">
        <v>67</v>
      </c>
      <c r="J345" s="65" t="s">
        <v>68</v>
      </c>
      <c r="K345" s="65" t="s">
        <v>71</v>
      </c>
      <c r="L345" s="65" t="s">
        <v>66</v>
      </c>
      <c r="M345" s="65" t="s">
        <v>67</v>
      </c>
      <c r="N345" s="65" t="s">
        <v>68</v>
      </c>
      <c r="O345" s="65" t="s">
        <v>72</v>
      </c>
      <c r="R345" s="61"/>
      <c r="S345" s="61"/>
      <c r="V345" s="61" t="s">
        <v>44</v>
      </c>
      <c r="W345" s="61" t="s">
        <v>96</v>
      </c>
      <c r="X345" s="61" t="s">
        <v>97</v>
      </c>
      <c r="Y345" s="61"/>
      <c r="Z345" s="61"/>
      <c r="AC345" s="95"/>
      <c r="AD345" s="95"/>
      <c r="AE345" s="95"/>
      <c r="AF345" s="95"/>
      <c r="AG345" s="93"/>
      <c r="AH345" s="95"/>
    </row>
    <row r="346" spans="1:34" s="3" customFormat="1" ht="14.25" customHeight="1" x14ac:dyDescent="0.25">
      <c r="A346" s="53">
        <v>1</v>
      </c>
      <c r="B346" s="53">
        <v>2</v>
      </c>
      <c r="C346" s="53">
        <v>3</v>
      </c>
      <c r="D346" s="53">
        <v>4</v>
      </c>
      <c r="E346" s="53">
        <v>5</v>
      </c>
      <c r="F346" s="53">
        <v>6</v>
      </c>
      <c r="G346" s="53">
        <v>7</v>
      </c>
      <c r="H346" s="66">
        <v>8</v>
      </c>
      <c r="I346" s="66">
        <v>9</v>
      </c>
      <c r="J346" s="66">
        <v>10</v>
      </c>
      <c r="K346" s="66">
        <v>11</v>
      </c>
      <c r="L346" s="66">
        <v>12</v>
      </c>
      <c r="M346" s="66">
        <v>13</v>
      </c>
      <c r="N346" s="66">
        <v>14</v>
      </c>
      <c r="O346" s="66">
        <v>15</v>
      </c>
      <c r="R346" s="61"/>
      <c r="S346" s="61"/>
      <c r="V346" s="61"/>
      <c r="W346" s="61"/>
      <c r="X346" s="61"/>
      <c r="Y346" s="61"/>
      <c r="Z346" s="61"/>
      <c r="AC346" s="95"/>
      <c r="AD346" s="95"/>
      <c r="AE346" s="95"/>
      <c r="AF346" s="95"/>
      <c r="AG346" s="94"/>
      <c r="AH346" s="95"/>
    </row>
    <row r="347" spans="1:34" s="3" customFormat="1" ht="25.5" customHeight="1" x14ac:dyDescent="0.25">
      <c r="A347" s="53" t="s">
        <v>16</v>
      </c>
      <c r="B347" s="54" t="s">
        <v>15</v>
      </c>
      <c r="C347" s="55">
        <f>4366330+585632</f>
        <v>4951962</v>
      </c>
      <c r="D347" s="55">
        <f>129851+17407</f>
        <v>147258</v>
      </c>
      <c r="E347" s="55">
        <f>551427+73969</f>
        <v>625396</v>
      </c>
      <c r="F347" s="55">
        <v>0</v>
      </c>
      <c r="G347" s="55">
        <f>D347+E347+F347</f>
        <v>772654</v>
      </c>
      <c r="H347" s="63">
        <f>547536+73400</f>
        <v>620936</v>
      </c>
      <c r="I347" s="63">
        <f>2325160+311899</f>
        <v>2637059</v>
      </c>
      <c r="J347" s="63">
        <v>0</v>
      </c>
      <c r="K347" s="63">
        <f>H347+I347+J347</f>
        <v>3257995</v>
      </c>
      <c r="L347" s="63">
        <f>154835+20757</f>
        <v>175592</v>
      </c>
      <c r="M347" s="63">
        <f>657521+88200</f>
        <v>745721</v>
      </c>
      <c r="N347" s="63">
        <v>0</v>
      </c>
      <c r="O347" s="63">
        <f>L347+M347+N347</f>
        <v>921313</v>
      </c>
      <c r="R347" s="62">
        <f>G347+K347+O347</f>
        <v>4951962</v>
      </c>
      <c r="S347" s="62">
        <f>R347-C347</f>
        <v>0</v>
      </c>
      <c r="V347" s="62">
        <f>D347+H347+L347</f>
        <v>943786</v>
      </c>
      <c r="W347" s="62">
        <f t="shared" ref="W347:X365" si="120">E347+I347+M347</f>
        <v>4008176</v>
      </c>
      <c r="X347" s="62">
        <f t="shared" si="120"/>
        <v>0</v>
      </c>
      <c r="Y347" s="62">
        <f>V347+W347+X347</f>
        <v>4951962</v>
      </c>
      <c r="Z347" s="62">
        <f>Y347-C347</f>
        <v>0</v>
      </c>
      <c r="AC347" s="99"/>
      <c r="AD347" s="99"/>
      <c r="AE347" s="99"/>
      <c r="AF347" s="98"/>
      <c r="AG347" s="92"/>
      <c r="AH347" s="98"/>
    </row>
    <row r="348" spans="1:34" ht="40.5" customHeight="1" x14ac:dyDescent="0.25">
      <c r="A348" s="56" t="s">
        <v>24</v>
      </c>
      <c r="B348" s="54" t="s">
        <v>14</v>
      </c>
      <c r="C348" s="55">
        <v>309054</v>
      </c>
      <c r="D348" s="55">
        <v>36331</v>
      </c>
      <c r="E348" s="55">
        <v>26859</v>
      </c>
      <c r="F348" s="55">
        <v>852</v>
      </c>
      <c r="G348" s="55">
        <f t="shared" ref="G348:G364" si="121">D348+E348+F348</f>
        <v>64042</v>
      </c>
      <c r="H348" s="63">
        <v>106770</v>
      </c>
      <c r="I348" s="63">
        <v>78935</v>
      </c>
      <c r="J348" s="63">
        <v>2503</v>
      </c>
      <c r="K348" s="63">
        <f t="shared" ref="K348:K364" si="122">H348+I348+J348</f>
        <v>188208</v>
      </c>
      <c r="L348" s="63">
        <v>32225</v>
      </c>
      <c r="M348" s="63">
        <v>23824</v>
      </c>
      <c r="N348" s="63">
        <v>755</v>
      </c>
      <c r="O348" s="63">
        <f t="shared" ref="O348:O364" si="123">L348+M348+N348</f>
        <v>56804</v>
      </c>
      <c r="R348" s="62">
        <f t="shared" ref="R348:R365" si="124">G348+K348+O348</f>
        <v>309054</v>
      </c>
      <c r="S348" s="62">
        <f t="shared" ref="S348:S365" si="125">R348-C348</f>
        <v>0</v>
      </c>
      <c r="V348" s="62">
        <f t="shared" ref="V348:V365" si="126">D348+H348+L348</f>
        <v>175326</v>
      </c>
      <c r="W348" s="62">
        <f t="shared" si="120"/>
        <v>129618</v>
      </c>
      <c r="X348" s="62">
        <f t="shared" si="120"/>
        <v>4110</v>
      </c>
      <c r="Y348" s="62">
        <f t="shared" ref="Y348:Y365" si="127">V348+W348+X348</f>
        <v>309054</v>
      </c>
      <c r="Z348" s="62">
        <f t="shared" ref="Z348:Z365" si="128">Y348-C348</f>
        <v>0</v>
      </c>
      <c r="AC348" s="99"/>
      <c r="AF348" s="98"/>
      <c r="AH348" s="98"/>
    </row>
    <row r="349" spans="1:34" ht="34.5" customHeight="1" x14ac:dyDescent="0.25">
      <c r="A349" s="56" t="s">
        <v>24</v>
      </c>
      <c r="B349" s="54" t="s">
        <v>13</v>
      </c>
      <c r="C349" s="55">
        <f>2139598+74369</f>
        <v>2213967</v>
      </c>
      <c r="D349" s="55">
        <v>0</v>
      </c>
      <c r="E349" s="55">
        <f>121273+4215</f>
        <v>125488</v>
      </c>
      <c r="F349" s="55">
        <v>0</v>
      </c>
      <c r="G349" s="55">
        <f t="shared" si="121"/>
        <v>125488</v>
      </c>
      <c r="H349" s="63">
        <v>0</v>
      </c>
      <c r="I349" s="63">
        <f>1797583+62481</f>
        <v>1860064</v>
      </c>
      <c r="J349" s="63">
        <v>0</v>
      </c>
      <c r="K349" s="63">
        <f t="shared" si="122"/>
        <v>1860064</v>
      </c>
      <c r="L349" s="63">
        <v>0</v>
      </c>
      <c r="M349" s="63">
        <f>220742+7673</f>
        <v>228415</v>
      </c>
      <c r="N349" s="63">
        <v>0</v>
      </c>
      <c r="O349" s="63">
        <f t="shared" si="123"/>
        <v>228415</v>
      </c>
      <c r="R349" s="62">
        <f t="shared" si="124"/>
        <v>2213967</v>
      </c>
      <c r="S349" s="62">
        <f t="shared" si="125"/>
        <v>0</v>
      </c>
      <c r="V349" s="62">
        <f t="shared" si="126"/>
        <v>0</v>
      </c>
      <c r="W349" s="62">
        <f t="shared" si="120"/>
        <v>2213967</v>
      </c>
      <c r="X349" s="62">
        <f t="shared" si="120"/>
        <v>0</v>
      </c>
      <c r="Y349" s="62">
        <f t="shared" si="127"/>
        <v>2213967</v>
      </c>
      <c r="Z349" s="62">
        <f t="shared" si="128"/>
        <v>0</v>
      </c>
      <c r="AC349" s="99"/>
      <c r="AD349" s="99"/>
      <c r="AE349" s="99"/>
      <c r="AF349" s="98"/>
      <c r="AH349" s="98"/>
    </row>
    <row r="350" spans="1:34" ht="40.5" customHeight="1" x14ac:dyDescent="0.25">
      <c r="A350" s="56" t="s">
        <v>22</v>
      </c>
      <c r="B350" s="54" t="s">
        <v>12</v>
      </c>
      <c r="C350" s="55">
        <v>214278</v>
      </c>
      <c r="D350" s="55">
        <v>24648</v>
      </c>
      <c r="E350" s="55">
        <v>0</v>
      </c>
      <c r="F350" s="55">
        <v>0</v>
      </c>
      <c r="G350" s="55">
        <f t="shared" si="121"/>
        <v>24648</v>
      </c>
      <c r="H350" s="63">
        <v>160306</v>
      </c>
      <c r="I350" s="63">
        <v>0</v>
      </c>
      <c r="J350" s="63">
        <v>0</v>
      </c>
      <c r="K350" s="63">
        <f t="shared" si="122"/>
        <v>160306</v>
      </c>
      <c r="L350" s="63">
        <v>29324</v>
      </c>
      <c r="M350" s="63">
        <v>0</v>
      </c>
      <c r="N350" s="63">
        <v>0</v>
      </c>
      <c r="O350" s="63">
        <f t="shared" si="123"/>
        <v>29324</v>
      </c>
      <c r="R350" s="62">
        <f t="shared" si="124"/>
        <v>214278</v>
      </c>
      <c r="S350" s="62">
        <f t="shared" si="125"/>
        <v>0</v>
      </c>
      <c r="V350" s="62">
        <f t="shared" si="126"/>
        <v>214278</v>
      </c>
      <c r="W350" s="62">
        <f t="shared" si="120"/>
        <v>0</v>
      </c>
      <c r="X350" s="62">
        <f t="shared" si="120"/>
        <v>0</v>
      </c>
      <c r="Y350" s="62">
        <f t="shared" si="127"/>
        <v>214278</v>
      </c>
      <c r="Z350" s="62">
        <f t="shared" si="128"/>
        <v>0</v>
      </c>
      <c r="AC350" s="99"/>
      <c r="AF350" s="98"/>
      <c r="AH350" s="98"/>
    </row>
    <row r="351" spans="1:34" ht="39.75" customHeight="1" x14ac:dyDescent="0.25">
      <c r="A351" s="56" t="s">
        <v>23</v>
      </c>
      <c r="B351" s="54" t="s">
        <v>11</v>
      </c>
      <c r="C351" s="55">
        <f>252283+66573</f>
        <v>318856</v>
      </c>
      <c r="D351" s="55">
        <f>9763+2577</f>
        <v>12340</v>
      </c>
      <c r="E351" s="55">
        <f>15653+4130</f>
        <v>19783</v>
      </c>
      <c r="F351" s="55">
        <f>6838+1804</f>
        <v>8642</v>
      </c>
      <c r="G351" s="55">
        <f t="shared" si="121"/>
        <v>40765</v>
      </c>
      <c r="H351" s="63">
        <f>51792+13671</f>
        <v>65463</v>
      </c>
      <c r="I351" s="63">
        <f>83036+21908</f>
        <v>104944</v>
      </c>
      <c r="J351" s="63">
        <f>36273+9572</f>
        <v>45845</v>
      </c>
      <c r="K351" s="63">
        <f t="shared" si="122"/>
        <v>216252</v>
      </c>
      <c r="L351" s="63">
        <f>14810+3909</f>
        <v>18719</v>
      </c>
      <c r="M351" s="63">
        <f>23745+6265</f>
        <v>30010</v>
      </c>
      <c r="N351" s="63">
        <f>10373+2737</f>
        <v>13110</v>
      </c>
      <c r="O351" s="63">
        <f t="shared" si="123"/>
        <v>61839</v>
      </c>
      <c r="R351" s="62">
        <f t="shared" si="124"/>
        <v>318856</v>
      </c>
      <c r="S351" s="62">
        <f t="shared" si="125"/>
        <v>0</v>
      </c>
      <c r="V351" s="62">
        <f t="shared" si="126"/>
        <v>96522</v>
      </c>
      <c r="W351" s="62">
        <f t="shared" si="120"/>
        <v>154737</v>
      </c>
      <c r="X351" s="62">
        <f t="shared" si="120"/>
        <v>67597</v>
      </c>
      <c r="Y351" s="62">
        <f t="shared" si="127"/>
        <v>318856</v>
      </c>
      <c r="Z351" s="62">
        <f t="shared" si="128"/>
        <v>0</v>
      </c>
      <c r="AC351" s="99"/>
      <c r="AD351" s="99"/>
      <c r="AE351" s="99"/>
      <c r="AF351" s="98"/>
      <c r="AH351" s="98"/>
    </row>
    <row r="352" spans="1:34" ht="28.5" customHeight="1" x14ac:dyDescent="0.25">
      <c r="A352" s="56" t="s">
        <v>20</v>
      </c>
      <c r="B352" s="54" t="s">
        <v>34</v>
      </c>
      <c r="C352" s="55">
        <v>346334</v>
      </c>
      <c r="D352" s="55">
        <v>64827</v>
      </c>
      <c r="E352" s="55">
        <v>0</v>
      </c>
      <c r="F352" s="55">
        <v>0</v>
      </c>
      <c r="G352" s="55">
        <f t="shared" si="121"/>
        <v>64827</v>
      </c>
      <c r="H352" s="63">
        <v>211600</v>
      </c>
      <c r="I352" s="63">
        <v>0</v>
      </c>
      <c r="J352" s="63">
        <v>0</v>
      </c>
      <c r="K352" s="63">
        <f t="shared" si="122"/>
        <v>211600</v>
      </c>
      <c r="L352" s="63">
        <v>69907</v>
      </c>
      <c r="M352" s="63">
        <v>0</v>
      </c>
      <c r="N352" s="63">
        <v>0</v>
      </c>
      <c r="O352" s="63">
        <f t="shared" si="123"/>
        <v>69907</v>
      </c>
      <c r="R352" s="62">
        <f t="shared" si="124"/>
        <v>346334</v>
      </c>
      <c r="S352" s="62">
        <f t="shared" si="125"/>
        <v>0</v>
      </c>
      <c r="V352" s="62">
        <f t="shared" si="126"/>
        <v>346334</v>
      </c>
      <c r="W352" s="62">
        <f t="shared" si="120"/>
        <v>0</v>
      </c>
      <c r="X352" s="62">
        <f t="shared" si="120"/>
        <v>0</v>
      </c>
      <c r="Y352" s="62">
        <f t="shared" si="127"/>
        <v>346334</v>
      </c>
      <c r="Z352" s="62">
        <f t="shared" si="128"/>
        <v>0</v>
      </c>
      <c r="AC352" s="99"/>
      <c r="AF352" s="98"/>
      <c r="AH352" s="98"/>
    </row>
    <row r="353" spans="1:34" ht="34.5" customHeight="1" x14ac:dyDescent="0.25">
      <c r="A353" s="56" t="s">
        <v>22</v>
      </c>
      <c r="B353" s="54" t="s">
        <v>10</v>
      </c>
      <c r="C353" s="55">
        <f>1246196+8580</f>
        <v>1254776</v>
      </c>
      <c r="D353" s="55">
        <f>27068+186</f>
        <v>27254</v>
      </c>
      <c r="E353" s="55">
        <f>35413+244</f>
        <v>35657</v>
      </c>
      <c r="F353" s="55">
        <f>1661+11</f>
        <v>1672</v>
      </c>
      <c r="G353" s="55">
        <f t="shared" si="121"/>
        <v>64583</v>
      </c>
      <c r="H353" s="63">
        <f>420989+2899</f>
        <v>423888</v>
      </c>
      <c r="I353" s="63">
        <f>550777+3792</f>
        <v>554569</v>
      </c>
      <c r="J353" s="63">
        <f>25838+178</f>
        <v>26016</v>
      </c>
      <c r="K353" s="63">
        <f t="shared" si="122"/>
        <v>1004473</v>
      </c>
      <c r="L353" s="63">
        <f>77838+536</f>
        <v>78374</v>
      </c>
      <c r="M353" s="63">
        <f>101835+701</f>
        <v>102536</v>
      </c>
      <c r="N353" s="63">
        <f>4777+33</f>
        <v>4810</v>
      </c>
      <c r="O353" s="63">
        <f t="shared" si="123"/>
        <v>185720</v>
      </c>
      <c r="R353" s="62">
        <f t="shared" si="124"/>
        <v>1254776</v>
      </c>
      <c r="S353" s="62">
        <f t="shared" si="125"/>
        <v>0</v>
      </c>
      <c r="V353" s="62">
        <f t="shared" si="126"/>
        <v>529516</v>
      </c>
      <c r="W353" s="62">
        <f t="shared" si="120"/>
        <v>692762</v>
      </c>
      <c r="X353" s="62">
        <f t="shared" si="120"/>
        <v>32498</v>
      </c>
      <c r="Y353" s="62">
        <f t="shared" si="127"/>
        <v>1254776</v>
      </c>
      <c r="Z353" s="62">
        <f t="shared" si="128"/>
        <v>0</v>
      </c>
      <c r="AC353" s="99"/>
      <c r="AD353" s="99"/>
      <c r="AE353" s="99"/>
      <c r="AF353" s="98"/>
      <c r="AH353" s="98"/>
    </row>
    <row r="354" spans="1:34" ht="25.5" customHeight="1" x14ac:dyDescent="0.25">
      <c r="A354" s="56" t="s">
        <v>21</v>
      </c>
      <c r="B354" s="54" t="s">
        <v>9</v>
      </c>
      <c r="C354" s="55">
        <f>924607+443399</f>
        <v>1368006</v>
      </c>
      <c r="D354" s="55">
        <f>80863+40074</f>
        <v>120937</v>
      </c>
      <c r="E354" s="55">
        <f>137072+64500</f>
        <v>201572</v>
      </c>
      <c r="F354" s="55">
        <f>4766+2224</f>
        <v>6990</v>
      </c>
      <c r="G354" s="55">
        <f t="shared" si="121"/>
        <v>329499</v>
      </c>
      <c r="H354" s="63">
        <f>252667+125218</f>
        <v>377885</v>
      </c>
      <c r="I354" s="63">
        <f>428301+201537</f>
        <v>629838</v>
      </c>
      <c r="J354" s="63">
        <f>14891+6947</f>
        <v>21838</v>
      </c>
      <c r="K354" s="63">
        <f t="shared" si="122"/>
        <v>1029561</v>
      </c>
      <c r="L354" s="63">
        <f>2196+1088</f>
        <v>3284</v>
      </c>
      <c r="M354" s="63">
        <f>3722+1751</f>
        <v>5473</v>
      </c>
      <c r="N354" s="63">
        <f>129+60</f>
        <v>189</v>
      </c>
      <c r="O354" s="63">
        <f t="shared" si="123"/>
        <v>8946</v>
      </c>
      <c r="R354" s="62">
        <f t="shared" si="124"/>
        <v>1368006</v>
      </c>
      <c r="S354" s="62">
        <f t="shared" si="125"/>
        <v>0</v>
      </c>
      <c r="V354" s="62">
        <f t="shared" si="126"/>
        <v>502106</v>
      </c>
      <c r="W354" s="62">
        <f t="shared" si="120"/>
        <v>836883</v>
      </c>
      <c r="X354" s="62">
        <f t="shared" si="120"/>
        <v>29017</v>
      </c>
      <c r="Y354" s="62">
        <f t="shared" si="127"/>
        <v>1368006</v>
      </c>
      <c r="Z354" s="62">
        <f t="shared" si="128"/>
        <v>0</v>
      </c>
      <c r="AC354" s="99"/>
      <c r="AD354" s="99"/>
      <c r="AE354" s="99"/>
      <c r="AF354" s="98"/>
      <c r="AH354" s="98"/>
    </row>
    <row r="355" spans="1:34" ht="25.5" customHeight="1" x14ac:dyDescent="0.25">
      <c r="A355" s="56" t="s">
        <v>25</v>
      </c>
      <c r="B355" s="54" t="s">
        <v>8</v>
      </c>
      <c r="C355" s="55">
        <v>1644657</v>
      </c>
      <c r="D355" s="55">
        <v>10706</v>
      </c>
      <c r="E355" s="55">
        <v>54258</v>
      </c>
      <c r="F355" s="55">
        <v>0</v>
      </c>
      <c r="G355" s="55">
        <f t="shared" si="121"/>
        <v>64964</v>
      </c>
      <c r="H355" s="63">
        <v>173758</v>
      </c>
      <c r="I355" s="63">
        <v>880599</v>
      </c>
      <c r="J355" s="63">
        <v>0</v>
      </c>
      <c r="K355" s="63">
        <f t="shared" si="122"/>
        <v>1054357</v>
      </c>
      <c r="L355" s="63">
        <v>86575</v>
      </c>
      <c r="M355" s="63">
        <v>438761</v>
      </c>
      <c r="N355" s="63">
        <v>0</v>
      </c>
      <c r="O355" s="63">
        <f t="shared" si="123"/>
        <v>525336</v>
      </c>
      <c r="R355" s="62">
        <f t="shared" si="124"/>
        <v>1644657</v>
      </c>
      <c r="S355" s="62">
        <f t="shared" si="125"/>
        <v>0</v>
      </c>
      <c r="V355" s="62">
        <f t="shared" si="126"/>
        <v>271039</v>
      </c>
      <c r="W355" s="62">
        <f t="shared" si="120"/>
        <v>1373618</v>
      </c>
      <c r="X355" s="62">
        <f t="shared" si="120"/>
        <v>0</v>
      </c>
      <c r="Y355" s="62">
        <f t="shared" si="127"/>
        <v>1644657</v>
      </c>
      <c r="Z355" s="62">
        <f t="shared" si="128"/>
        <v>0</v>
      </c>
      <c r="AC355" s="99"/>
      <c r="AF355" s="98"/>
      <c r="AH355" s="98"/>
    </row>
    <row r="356" spans="1:34" ht="25.5" customHeight="1" x14ac:dyDescent="0.25">
      <c r="A356" s="56" t="s">
        <v>26</v>
      </c>
      <c r="B356" s="54" t="s">
        <v>7</v>
      </c>
      <c r="C356" s="55">
        <v>1149417</v>
      </c>
      <c r="D356" s="55">
        <v>2409</v>
      </c>
      <c r="E356" s="55">
        <v>18591</v>
      </c>
      <c r="F356" s="55">
        <v>0</v>
      </c>
      <c r="G356" s="55">
        <f t="shared" si="121"/>
        <v>21000</v>
      </c>
      <c r="H356" s="63">
        <v>117676</v>
      </c>
      <c r="I356" s="63">
        <v>908270</v>
      </c>
      <c r="J356" s="63">
        <v>0</v>
      </c>
      <c r="K356" s="63">
        <f t="shared" si="122"/>
        <v>1025946</v>
      </c>
      <c r="L356" s="63">
        <v>11754</v>
      </c>
      <c r="M356" s="63">
        <v>90717</v>
      </c>
      <c r="N356" s="63">
        <v>0</v>
      </c>
      <c r="O356" s="63">
        <f t="shared" si="123"/>
        <v>102471</v>
      </c>
      <c r="R356" s="62">
        <f t="shared" si="124"/>
        <v>1149417</v>
      </c>
      <c r="S356" s="62">
        <f t="shared" si="125"/>
        <v>0</v>
      </c>
      <c r="V356" s="62">
        <f t="shared" si="126"/>
        <v>131839</v>
      </c>
      <c r="W356" s="62">
        <f t="shared" si="120"/>
        <v>1017578</v>
      </c>
      <c r="X356" s="62">
        <f t="shared" si="120"/>
        <v>0</v>
      </c>
      <c r="Y356" s="62">
        <f t="shared" si="127"/>
        <v>1149417</v>
      </c>
      <c r="Z356" s="62">
        <f t="shared" si="128"/>
        <v>0</v>
      </c>
      <c r="AC356" s="99"/>
      <c r="AF356" s="98"/>
      <c r="AH356" s="98"/>
    </row>
    <row r="357" spans="1:34" ht="25.5" customHeight="1" x14ac:dyDescent="0.25">
      <c r="A357" s="56" t="s">
        <v>20</v>
      </c>
      <c r="B357" s="54" t="s">
        <v>6</v>
      </c>
      <c r="C357" s="55">
        <f>'Расх по МО с 01.07.13'!C357</f>
        <v>1046642</v>
      </c>
      <c r="D357" s="55">
        <f>'Расх по МО с 01.07.13'!D357</f>
        <v>4187</v>
      </c>
      <c r="E357" s="55">
        <f>'Расх по МО с 01.07.13'!E357</f>
        <v>2966</v>
      </c>
      <c r="F357" s="55">
        <f>'Расх по МО с 01.07.13'!F357</f>
        <v>140</v>
      </c>
      <c r="G357" s="55">
        <f>'Расх по МО с 01.07.13'!G357</f>
        <v>7293</v>
      </c>
      <c r="H357" s="55">
        <f>'Расх по МО с 01.07.13'!H357</f>
        <v>595554</v>
      </c>
      <c r="I357" s="55">
        <f>'Расх по МО с 01.07.13'!I357</f>
        <v>422099</v>
      </c>
      <c r="J357" s="55">
        <f>'Расх по МО с 01.07.13'!J357</f>
        <v>20125</v>
      </c>
      <c r="K357" s="55">
        <f>'Расх по МО с 01.07.13'!K357</f>
        <v>1037778</v>
      </c>
      <c r="L357" s="55">
        <f>'Расх по МО с 01.07.13'!L357</f>
        <v>901</v>
      </c>
      <c r="M357" s="55">
        <f>'Расх по МО с 01.07.13'!M357</f>
        <v>639</v>
      </c>
      <c r="N357" s="55">
        <f>'Расх по МО с 01.07.13'!N357</f>
        <v>31</v>
      </c>
      <c r="O357" s="55">
        <f>'Расх по МО с 01.07.13'!O357</f>
        <v>1571</v>
      </c>
      <c r="R357" s="62">
        <f t="shared" si="124"/>
        <v>1046642</v>
      </c>
      <c r="S357" s="62">
        <f t="shared" si="125"/>
        <v>0</v>
      </c>
      <c r="V357" s="62">
        <f t="shared" si="126"/>
        <v>600642</v>
      </c>
      <c r="W357" s="62">
        <f t="shared" si="120"/>
        <v>425704</v>
      </c>
      <c r="X357" s="62">
        <f t="shared" si="120"/>
        <v>20296</v>
      </c>
      <c r="Y357" s="62">
        <f t="shared" si="127"/>
        <v>1046642</v>
      </c>
      <c r="Z357" s="62">
        <f t="shared" si="128"/>
        <v>0</v>
      </c>
      <c r="AC357" s="99"/>
      <c r="AD357" s="99"/>
      <c r="AE357" s="99"/>
      <c r="AF357" s="98"/>
      <c r="AH357" s="98"/>
    </row>
    <row r="358" spans="1:34" ht="25.5" customHeight="1" x14ac:dyDescent="0.25">
      <c r="A358" s="56" t="s">
        <v>19</v>
      </c>
      <c r="B358" s="54" t="s">
        <v>5</v>
      </c>
      <c r="C358" s="55">
        <f>728498+912884</f>
        <v>1641382</v>
      </c>
      <c r="D358" s="55">
        <f>20853+32487</f>
        <v>53340</v>
      </c>
      <c r="E358" s="55">
        <f>75077+88673</f>
        <v>163750</v>
      </c>
      <c r="F358" s="55">
        <f>4858+5137</f>
        <v>9995</v>
      </c>
      <c r="G358" s="55">
        <f t="shared" si="121"/>
        <v>227085</v>
      </c>
      <c r="H358" s="63">
        <f>128609+200363</f>
        <v>328972</v>
      </c>
      <c r="I358" s="63">
        <f>463028+546883</f>
        <v>1009911</v>
      </c>
      <c r="J358" s="63">
        <f>29961+31682</f>
        <v>61643</v>
      </c>
      <c r="K358" s="63">
        <f t="shared" si="122"/>
        <v>1400526</v>
      </c>
      <c r="L358" s="63">
        <f>1264+1970</f>
        <v>3234</v>
      </c>
      <c r="M358" s="63">
        <f>4553+5377</f>
        <v>9930</v>
      </c>
      <c r="N358" s="63">
        <f>295+312</f>
        <v>607</v>
      </c>
      <c r="O358" s="63">
        <f t="shared" si="123"/>
        <v>13771</v>
      </c>
      <c r="R358" s="62">
        <f t="shared" si="124"/>
        <v>1641382</v>
      </c>
      <c r="S358" s="62">
        <f t="shared" si="125"/>
        <v>0</v>
      </c>
      <c r="V358" s="62">
        <f t="shared" si="126"/>
        <v>385546</v>
      </c>
      <c r="W358" s="62">
        <f t="shared" si="120"/>
        <v>1183591</v>
      </c>
      <c r="X358" s="62">
        <f t="shared" si="120"/>
        <v>72245</v>
      </c>
      <c r="Y358" s="62">
        <f t="shared" si="127"/>
        <v>1641382</v>
      </c>
      <c r="Z358" s="62">
        <f t="shared" si="128"/>
        <v>0</v>
      </c>
      <c r="AC358" s="99"/>
      <c r="AD358" s="99"/>
      <c r="AE358" s="99"/>
      <c r="AF358" s="98"/>
      <c r="AH358" s="98"/>
    </row>
    <row r="359" spans="1:34" ht="25.5" customHeight="1" x14ac:dyDescent="0.25">
      <c r="A359" s="56" t="s">
        <v>18</v>
      </c>
      <c r="B359" s="54" t="s">
        <v>4</v>
      </c>
      <c r="C359" s="55">
        <f>754424+1082945</f>
        <v>1837369</v>
      </c>
      <c r="D359" s="55">
        <f>14629+21000</f>
        <v>35629</v>
      </c>
      <c r="E359" s="55">
        <f>24652+35388</f>
        <v>60040</v>
      </c>
      <c r="F359" s="55">
        <f>1020+1463</f>
        <v>2483</v>
      </c>
      <c r="G359" s="55">
        <f t="shared" si="121"/>
        <v>98152</v>
      </c>
      <c r="H359" s="63">
        <f>250663+359810</f>
        <v>610473</v>
      </c>
      <c r="I359" s="63">
        <f>422398+606351</f>
        <v>1028749</v>
      </c>
      <c r="J359" s="63">
        <f>17471+25069</f>
        <v>42540</v>
      </c>
      <c r="K359" s="63">
        <f t="shared" si="122"/>
        <v>1681762</v>
      </c>
      <c r="L359" s="63">
        <f>8563+12292</f>
        <v>20855</v>
      </c>
      <c r="M359" s="63">
        <f>14431+20715</f>
        <v>35146</v>
      </c>
      <c r="N359" s="63">
        <f>597+857</f>
        <v>1454</v>
      </c>
      <c r="O359" s="63">
        <f t="shared" si="123"/>
        <v>57455</v>
      </c>
      <c r="R359" s="62">
        <f t="shared" si="124"/>
        <v>1837369</v>
      </c>
      <c r="S359" s="62">
        <f t="shared" si="125"/>
        <v>0</v>
      </c>
      <c r="V359" s="62">
        <f t="shared" si="126"/>
        <v>666957</v>
      </c>
      <c r="W359" s="62">
        <f t="shared" si="120"/>
        <v>1123935</v>
      </c>
      <c r="X359" s="62">
        <f t="shared" si="120"/>
        <v>46477</v>
      </c>
      <c r="Y359" s="62">
        <f t="shared" si="127"/>
        <v>1837369</v>
      </c>
      <c r="Z359" s="62">
        <f t="shared" si="128"/>
        <v>0</v>
      </c>
      <c r="AC359" s="99"/>
      <c r="AD359" s="99"/>
      <c r="AE359" s="99"/>
      <c r="AF359" s="98"/>
      <c r="AH359" s="98"/>
    </row>
    <row r="360" spans="1:34" ht="25.5" customHeight="1" x14ac:dyDescent="0.25">
      <c r="A360" s="56" t="s">
        <v>25</v>
      </c>
      <c r="B360" s="54" t="s">
        <v>3</v>
      </c>
      <c r="C360" s="55">
        <f>912752+170141</f>
        <v>1082893</v>
      </c>
      <c r="D360" s="55">
        <f>43749+8155</f>
        <v>51904</v>
      </c>
      <c r="E360" s="55">
        <f>21538+4014</f>
        <v>25552</v>
      </c>
      <c r="F360" s="55">
        <f>2019+377</f>
        <v>2396</v>
      </c>
      <c r="G360" s="55">
        <f t="shared" si="121"/>
        <v>79852</v>
      </c>
      <c r="H360" s="63">
        <f>488811+91114</f>
        <v>579925</v>
      </c>
      <c r="I360" s="63">
        <f>240645+44853</f>
        <v>285498</v>
      </c>
      <c r="J360" s="63">
        <f>22561+4212</f>
        <v>26773</v>
      </c>
      <c r="K360" s="63">
        <f t="shared" si="122"/>
        <v>892196</v>
      </c>
      <c r="L360" s="63">
        <f>60729+11320</f>
        <v>72049</v>
      </c>
      <c r="M360" s="63">
        <f>29897+5573</f>
        <v>35470</v>
      </c>
      <c r="N360" s="63">
        <f>2803+523</f>
        <v>3326</v>
      </c>
      <c r="O360" s="63">
        <f t="shared" si="123"/>
        <v>110845</v>
      </c>
      <c r="R360" s="62">
        <f t="shared" si="124"/>
        <v>1082893</v>
      </c>
      <c r="S360" s="62">
        <f t="shared" si="125"/>
        <v>0</v>
      </c>
      <c r="V360" s="62">
        <f t="shared" si="126"/>
        <v>703878</v>
      </c>
      <c r="W360" s="62">
        <f t="shared" si="120"/>
        <v>346520</v>
      </c>
      <c r="X360" s="62">
        <f t="shared" si="120"/>
        <v>32495</v>
      </c>
      <c r="Y360" s="62">
        <f t="shared" si="127"/>
        <v>1082893</v>
      </c>
      <c r="Z360" s="62">
        <f t="shared" si="128"/>
        <v>0</v>
      </c>
      <c r="AC360" s="99"/>
      <c r="AD360" s="99"/>
      <c r="AE360" s="99"/>
      <c r="AF360" s="98"/>
      <c r="AH360" s="98"/>
    </row>
    <row r="361" spans="1:34" ht="54" customHeight="1" x14ac:dyDescent="0.25">
      <c r="A361" s="56" t="s">
        <v>30</v>
      </c>
      <c r="B361" s="54" t="s">
        <v>2</v>
      </c>
      <c r="C361" s="55">
        <v>100940</v>
      </c>
      <c r="D361" s="55">
        <v>2859</v>
      </c>
      <c r="E361" s="55">
        <v>0</v>
      </c>
      <c r="F361" s="55">
        <v>0</v>
      </c>
      <c r="G361" s="55">
        <f t="shared" si="121"/>
        <v>2859</v>
      </c>
      <c r="H361" s="63">
        <v>84504</v>
      </c>
      <c r="I361" s="63">
        <v>0</v>
      </c>
      <c r="J361" s="63">
        <v>0</v>
      </c>
      <c r="K361" s="63">
        <f t="shared" si="122"/>
        <v>84504</v>
      </c>
      <c r="L361" s="63">
        <v>13577</v>
      </c>
      <c r="M361" s="63">
        <v>0</v>
      </c>
      <c r="N361" s="63">
        <v>0</v>
      </c>
      <c r="O361" s="63">
        <f t="shared" si="123"/>
        <v>13577</v>
      </c>
      <c r="R361" s="62">
        <f t="shared" si="124"/>
        <v>100940</v>
      </c>
      <c r="S361" s="62">
        <f t="shared" si="125"/>
        <v>0</v>
      </c>
      <c r="V361" s="62">
        <f t="shared" si="126"/>
        <v>100940</v>
      </c>
      <c r="W361" s="62">
        <f t="shared" si="120"/>
        <v>0</v>
      </c>
      <c r="X361" s="62">
        <f t="shared" si="120"/>
        <v>0</v>
      </c>
      <c r="Y361" s="62">
        <f t="shared" si="127"/>
        <v>100940</v>
      </c>
      <c r="Z361" s="62">
        <f t="shared" si="128"/>
        <v>0</v>
      </c>
      <c r="AC361" s="99"/>
      <c r="AF361" s="98"/>
      <c r="AH361" s="98"/>
    </row>
    <row r="362" spans="1:34" ht="39.75" customHeight="1" x14ac:dyDescent="0.25">
      <c r="A362" s="56" t="s">
        <v>31</v>
      </c>
      <c r="B362" s="54" t="s">
        <v>1</v>
      </c>
      <c r="C362" s="55">
        <v>100043</v>
      </c>
      <c r="D362" s="55">
        <v>7441</v>
      </c>
      <c r="E362" s="55">
        <v>0</v>
      </c>
      <c r="F362" s="55">
        <v>0</v>
      </c>
      <c r="G362" s="55">
        <f t="shared" si="121"/>
        <v>7441</v>
      </c>
      <c r="H362" s="63">
        <v>88566</v>
      </c>
      <c r="I362" s="63">
        <v>0</v>
      </c>
      <c r="J362" s="63">
        <v>0</v>
      </c>
      <c r="K362" s="63">
        <f t="shared" si="122"/>
        <v>88566</v>
      </c>
      <c r="L362" s="63">
        <v>4036</v>
      </c>
      <c r="M362" s="63">
        <v>0</v>
      </c>
      <c r="N362" s="63">
        <v>0</v>
      </c>
      <c r="O362" s="63">
        <f t="shared" si="123"/>
        <v>4036</v>
      </c>
      <c r="R362" s="62">
        <f t="shared" si="124"/>
        <v>100043</v>
      </c>
      <c r="S362" s="62">
        <f t="shared" si="125"/>
        <v>0</v>
      </c>
      <c r="V362" s="62">
        <f t="shared" si="126"/>
        <v>100043</v>
      </c>
      <c r="W362" s="62">
        <f t="shared" si="120"/>
        <v>0</v>
      </c>
      <c r="X362" s="62">
        <f t="shared" si="120"/>
        <v>0</v>
      </c>
      <c r="Y362" s="62">
        <f t="shared" si="127"/>
        <v>100043</v>
      </c>
      <c r="Z362" s="62">
        <f t="shared" si="128"/>
        <v>0</v>
      </c>
      <c r="AC362" s="99"/>
      <c r="AF362" s="98"/>
      <c r="AH362" s="98"/>
    </row>
    <row r="363" spans="1:34" ht="33" customHeight="1" x14ac:dyDescent="0.25">
      <c r="A363" s="56" t="s">
        <v>32</v>
      </c>
      <c r="B363" s="54" t="s">
        <v>73</v>
      </c>
      <c r="C363" s="55">
        <v>41245</v>
      </c>
      <c r="D363" s="55">
        <v>8112</v>
      </c>
      <c r="E363" s="55">
        <v>0</v>
      </c>
      <c r="F363" s="55">
        <v>0</v>
      </c>
      <c r="G363" s="55">
        <f t="shared" si="121"/>
        <v>8112</v>
      </c>
      <c r="H363" s="63">
        <v>26556</v>
      </c>
      <c r="I363" s="63">
        <v>0</v>
      </c>
      <c r="J363" s="63">
        <v>0</v>
      </c>
      <c r="K363" s="63">
        <f t="shared" si="122"/>
        <v>26556</v>
      </c>
      <c r="L363" s="63">
        <v>6577</v>
      </c>
      <c r="M363" s="63">
        <v>0</v>
      </c>
      <c r="N363" s="63">
        <v>0</v>
      </c>
      <c r="O363" s="63">
        <f t="shared" si="123"/>
        <v>6577</v>
      </c>
      <c r="R363" s="62">
        <f t="shared" si="124"/>
        <v>41245</v>
      </c>
      <c r="S363" s="62">
        <f t="shared" si="125"/>
        <v>0</v>
      </c>
      <c r="V363" s="62">
        <f t="shared" si="126"/>
        <v>41245</v>
      </c>
      <c r="W363" s="62">
        <f t="shared" si="120"/>
        <v>0</v>
      </c>
      <c r="X363" s="62">
        <f t="shared" si="120"/>
        <v>0</v>
      </c>
      <c r="Y363" s="62">
        <f t="shared" si="127"/>
        <v>41245</v>
      </c>
      <c r="Z363" s="62">
        <f t="shared" si="128"/>
        <v>0</v>
      </c>
      <c r="AC363" s="99"/>
      <c r="AF363" s="98"/>
      <c r="AH363" s="98"/>
    </row>
    <row r="364" spans="1:34" ht="33" customHeight="1" x14ac:dyDescent="0.25">
      <c r="A364" s="56" t="s">
        <v>90</v>
      </c>
      <c r="B364" s="70" t="s">
        <v>91</v>
      </c>
      <c r="C364" s="55">
        <f>E364+I364+M364</f>
        <v>61662</v>
      </c>
      <c r="D364" s="55">
        <v>0</v>
      </c>
      <c r="E364" s="55">
        <v>10436</v>
      </c>
      <c r="F364" s="55">
        <v>0</v>
      </c>
      <c r="G364" s="55">
        <f t="shared" si="121"/>
        <v>10436</v>
      </c>
      <c r="H364" s="63">
        <v>0</v>
      </c>
      <c r="I364" s="63">
        <v>34306</v>
      </c>
      <c r="J364" s="63">
        <v>0</v>
      </c>
      <c r="K364" s="63">
        <f t="shared" si="122"/>
        <v>34306</v>
      </c>
      <c r="L364" s="63">
        <v>0</v>
      </c>
      <c r="M364" s="63">
        <v>16920</v>
      </c>
      <c r="N364" s="63">
        <v>0</v>
      </c>
      <c r="O364" s="63">
        <f t="shared" si="123"/>
        <v>16920</v>
      </c>
      <c r="R364" s="62">
        <f t="shared" si="124"/>
        <v>61662</v>
      </c>
      <c r="S364" s="62">
        <f>R364-C364</f>
        <v>0</v>
      </c>
      <c r="V364" s="62">
        <f t="shared" si="126"/>
        <v>0</v>
      </c>
      <c r="W364" s="62">
        <f t="shared" si="120"/>
        <v>61662</v>
      </c>
      <c r="X364" s="62">
        <f t="shared" si="120"/>
        <v>0</v>
      </c>
      <c r="Y364" s="62">
        <f t="shared" si="127"/>
        <v>61662</v>
      </c>
      <c r="Z364" s="62">
        <f t="shared" si="128"/>
        <v>0</v>
      </c>
      <c r="AC364" s="99"/>
      <c r="AF364" s="98"/>
      <c r="AH364" s="98"/>
    </row>
    <row r="365" spans="1:34" ht="25.5" customHeight="1" x14ac:dyDescent="0.25">
      <c r="A365" s="57"/>
      <c r="B365" s="57" t="s">
        <v>0</v>
      </c>
      <c r="C365" s="58">
        <f>SUM(C347:C364)</f>
        <v>19683483</v>
      </c>
      <c r="D365" s="58">
        <f t="shared" ref="D365:O365" si="129">SUM(D347:D364)</f>
        <v>610182</v>
      </c>
      <c r="E365" s="58">
        <f t="shared" si="129"/>
        <v>1370348</v>
      </c>
      <c r="F365" s="58">
        <f t="shared" si="129"/>
        <v>33170</v>
      </c>
      <c r="G365" s="58">
        <f t="shared" si="129"/>
        <v>2013700</v>
      </c>
      <c r="H365" s="58">
        <f t="shared" si="129"/>
        <v>4572832</v>
      </c>
      <c r="I365" s="58">
        <f t="shared" si="129"/>
        <v>10434841</v>
      </c>
      <c r="J365" s="58">
        <f t="shared" si="129"/>
        <v>247283</v>
      </c>
      <c r="K365" s="58">
        <f t="shared" si="129"/>
        <v>15254956</v>
      </c>
      <c r="L365" s="58">
        <f t="shared" si="129"/>
        <v>626983</v>
      </c>
      <c r="M365" s="58">
        <f t="shared" si="129"/>
        <v>1763562</v>
      </c>
      <c r="N365" s="58">
        <f t="shared" si="129"/>
        <v>24282</v>
      </c>
      <c r="O365" s="58">
        <f t="shared" si="129"/>
        <v>2414827</v>
      </c>
      <c r="R365" s="62">
        <f t="shared" si="124"/>
        <v>19683483</v>
      </c>
      <c r="S365" s="62">
        <f t="shared" si="125"/>
        <v>0</v>
      </c>
      <c r="V365" s="62">
        <f t="shared" si="126"/>
        <v>5809997</v>
      </c>
      <c r="W365" s="62">
        <f t="shared" si="120"/>
        <v>13568751</v>
      </c>
      <c r="X365" s="62">
        <f t="shared" si="120"/>
        <v>304735</v>
      </c>
      <c r="Y365" s="62">
        <f t="shared" si="127"/>
        <v>19683483</v>
      </c>
      <c r="Z365" s="62">
        <f t="shared" si="128"/>
        <v>0</v>
      </c>
      <c r="AF365" s="98"/>
      <c r="AH365" s="98"/>
    </row>
    <row r="367" spans="1:34" s="4" customFormat="1" ht="28.5" customHeight="1" x14ac:dyDescent="0.25">
      <c r="A367" s="152" t="s">
        <v>17</v>
      </c>
      <c r="B367" s="152" t="s">
        <v>33</v>
      </c>
      <c r="C367" s="159" t="s">
        <v>88</v>
      </c>
      <c r="D367" s="152" t="s">
        <v>69</v>
      </c>
      <c r="E367" s="152"/>
      <c r="F367" s="152"/>
      <c r="G367" s="152"/>
      <c r="H367" s="152"/>
      <c r="I367" s="152"/>
      <c r="J367" s="152"/>
      <c r="K367" s="152"/>
      <c r="L367" s="152"/>
      <c r="M367" s="152"/>
      <c r="N367" s="152"/>
      <c r="O367" s="152"/>
      <c r="R367" s="61"/>
      <c r="S367" s="61"/>
      <c r="V367" s="61"/>
      <c r="W367" s="61"/>
      <c r="X367" s="61"/>
      <c r="Y367" s="61"/>
      <c r="Z367" s="61"/>
      <c r="AC367" s="95"/>
      <c r="AD367" s="95"/>
      <c r="AE367" s="95"/>
      <c r="AF367" s="95"/>
      <c r="AG367" s="93"/>
      <c r="AH367" s="95"/>
    </row>
    <row r="368" spans="1:34" s="4" customFormat="1" ht="41.25" customHeight="1" x14ac:dyDescent="0.25">
      <c r="A368" s="152"/>
      <c r="B368" s="152"/>
      <c r="C368" s="159"/>
      <c r="D368" s="154" t="s">
        <v>36</v>
      </c>
      <c r="E368" s="154"/>
      <c r="F368" s="154"/>
      <c r="G368" s="154"/>
      <c r="H368" s="155" t="s">
        <v>37</v>
      </c>
      <c r="I368" s="156"/>
      <c r="J368" s="156"/>
      <c r="K368" s="157"/>
      <c r="L368" s="155" t="s">
        <v>38</v>
      </c>
      <c r="M368" s="156"/>
      <c r="N368" s="156"/>
      <c r="O368" s="157"/>
      <c r="R368" s="61"/>
      <c r="S368" s="61"/>
      <c r="V368" s="61"/>
      <c r="W368" s="61"/>
      <c r="X368" s="61"/>
      <c r="Y368" s="61"/>
      <c r="Z368" s="61"/>
      <c r="AC368" s="95"/>
      <c r="AD368" s="95"/>
      <c r="AE368" s="95"/>
      <c r="AF368" s="95"/>
      <c r="AG368" s="93"/>
      <c r="AH368" s="95"/>
    </row>
    <row r="369" spans="1:34" s="4" customFormat="1" ht="59.25" customHeight="1" x14ac:dyDescent="0.25">
      <c r="A369" s="152"/>
      <c r="B369" s="152"/>
      <c r="C369" s="159"/>
      <c r="D369" s="83" t="s">
        <v>66</v>
      </c>
      <c r="E369" s="83" t="s">
        <v>67</v>
      </c>
      <c r="F369" s="83" t="s">
        <v>68</v>
      </c>
      <c r="G369" s="83" t="s">
        <v>70</v>
      </c>
      <c r="H369" s="65" t="s">
        <v>66</v>
      </c>
      <c r="I369" s="65" t="s">
        <v>67</v>
      </c>
      <c r="J369" s="65" t="s">
        <v>68</v>
      </c>
      <c r="K369" s="65" t="s">
        <v>71</v>
      </c>
      <c r="L369" s="65" t="s">
        <v>66</v>
      </c>
      <c r="M369" s="65" t="s">
        <v>67</v>
      </c>
      <c r="N369" s="65" t="s">
        <v>68</v>
      </c>
      <c r="O369" s="65" t="s">
        <v>72</v>
      </c>
      <c r="R369" s="61"/>
      <c r="S369" s="61"/>
      <c r="V369" s="61" t="s">
        <v>44</v>
      </c>
      <c r="W369" s="61" t="s">
        <v>96</v>
      </c>
      <c r="X369" s="61" t="s">
        <v>97</v>
      </c>
      <c r="Y369" s="61"/>
      <c r="Z369" s="61"/>
      <c r="AC369" s="95"/>
      <c r="AD369" s="95"/>
      <c r="AE369" s="95"/>
      <c r="AF369" s="95"/>
      <c r="AG369" s="93"/>
      <c r="AH369" s="95"/>
    </row>
    <row r="370" spans="1:34" s="3" customFormat="1" ht="14.25" customHeight="1" x14ac:dyDescent="0.25">
      <c r="A370" s="53">
        <v>1</v>
      </c>
      <c r="B370" s="53">
        <v>2</v>
      </c>
      <c r="C370" s="53">
        <v>3</v>
      </c>
      <c r="D370" s="53">
        <v>4</v>
      </c>
      <c r="E370" s="53">
        <v>5</v>
      </c>
      <c r="F370" s="53">
        <v>6</v>
      </c>
      <c r="G370" s="53">
        <v>7</v>
      </c>
      <c r="H370" s="66">
        <v>8</v>
      </c>
      <c r="I370" s="66">
        <v>9</v>
      </c>
      <c r="J370" s="66">
        <v>10</v>
      </c>
      <c r="K370" s="66">
        <v>11</v>
      </c>
      <c r="L370" s="66">
        <v>12</v>
      </c>
      <c r="M370" s="66">
        <v>13</v>
      </c>
      <c r="N370" s="66">
        <v>14</v>
      </c>
      <c r="O370" s="66">
        <v>15</v>
      </c>
      <c r="R370" s="61"/>
      <c r="S370" s="61"/>
      <c r="V370" s="61"/>
      <c r="W370" s="61"/>
      <c r="X370" s="61"/>
      <c r="Y370" s="61"/>
      <c r="Z370" s="61"/>
      <c r="AC370" s="95"/>
      <c r="AD370" s="95"/>
      <c r="AE370" s="95"/>
      <c r="AF370" s="95"/>
      <c r="AG370" s="94"/>
      <c r="AH370" s="95"/>
    </row>
    <row r="371" spans="1:34" s="3" customFormat="1" ht="25.5" customHeight="1" x14ac:dyDescent="0.25">
      <c r="A371" s="53" t="s">
        <v>16</v>
      </c>
      <c r="B371" s="54" t="s">
        <v>15</v>
      </c>
      <c r="C371" s="55">
        <f t="shared" ref="C371:F386" si="130">C298+C322+C347</f>
        <v>15504269</v>
      </c>
      <c r="D371" s="55">
        <f t="shared" si="130"/>
        <v>387323</v>
      </c>
      <c r="E371" s="55">
        <f t="shared" si="130"/>
        <v>2031807</v>
      </c>
      <c r="F371" s="55">
        <f t="shared" si="130"/>
        <v>0</v>
      </c>
      <c r="G371" s="55">
        <f>D371+E371+F371</f>
        <v>2419130</v>
      </c>
      <c r="H371" s="63">
        <f t="shared" ref="H371:J386" si="131">H298+H322+H347</f>
        <v>1633194</v>
      </c>
      <c r="I371" s="63">
        <f t="shared" si="131"/>
        <v>8567375</v>
      </c>
      <c r="J371" s="63">
        <f t="shared" si="131"/>
        <v>0</v>
      </c>
      <c r="K371" s="63">
        <f>H371+I371+J371</f>
        <v>10200569</v>
      </c>
      <c r="L371" s="63">
        <f t="shared" ref="L371:N386" si="132">L298+L322+L347</f>
        <v>461843</v>
      </c>
      <c r="M371" s="63">
        <f t="shared" si="132"/>
        <v>2422727</v>
      </c>
      <c r="N371" s="63">
        <f t="shared" si="132"/>
        <v>0</v>
      </c>
      <c r="O371" s="63">
        <f>L371+M371+N371</f>
        <v>2884570</v>
      </c>
      <c r="R371" s="62">
        <f>G371+K371+O371</f>
        <v>15504269</v>
      </c>
      <c r="S371" s="62">
        <f>R371-C371</f>
        <v>0</v>
      </c>
      <c r="V371" s="62">
        <f>D371+H371+L371</f>
        <v>2482360</v>
      </c>
      <c r="W371" s="62">
        <f t="shared" ref="W371:X389" si="133">E371+I371+M371</f>
        <v>13021909</v>
      </c>
      <c r="X371" s="62">
        <f t="shared" si="133"/>
        <v>0</v>
      </c>
      <c r="Y371" s="62">
        <f>V371+W371+X371</f>
        <v>15504269</v>
      </c>
      <c r="Z371" s="62">
        <f>Y371-C371</f>
        <v>0</v>
      </c>
      <c r="AC371" s="95"/>
      <c r="AD371" s="95"/>
      <c r="AE371" s="95"/>
      <c r="AF371" s="95"/>
      <c r="AG371" s="94"/>
      <c r="AH371" s="95"/>
    </row>
    <row r="372" spans="1:34" ht="40.5" customHeight="1" x14ac:dyDescent="0.25">
      <c r="A372" s="56" t="s">
        <v>24</v>
      </c>
      <c r="B372" s="54" t="s">
        <v>14</v>
      </c>
      <c r="C372" s="55">
        <f t="shared" si="130"/>
        <v>896395</v>
      </c>
      <c r="D372" s="55">
        <f t="shared" si="130"/>
        <v>102610</v>
      </c>
      <c r="E372" s="55">
        <f t="shared" si="130"/>
        <v>80580</v>
      </c>
      <c r="F372" s="55">
        <f t="shared" si="130"/>
        <v>2560</v>
      </c>
      <c r="G372" s="55">
        <f t="shared" ref="G372:G388" si="134">D372+E372+F372</f>
        <v>185750</v>
      </c>
      <c r="H372" s="63">
        <f t="shared" si="131"/>
        <v>301554</v>
      </c>
      <c r="I372" s="63">
        <f t="shared" si="131"/>
        <v>236810</v>
      </c>
      <c r="J372" s="63">
        <f t="shared" si="131"/>
        <v>7523</v>
      </c>
      <c r="K372" s="63">
        <f t="shared" ref="K372:K388" si="135">H372+I372+J372</f>
        <v>545887</v>
      </c>
      <c r="L372" s="63">
        <f t="shared" si="132"/>
        <v>91013</v>
      </c>
      <c r="M372" s="63">
        <f t="shared" si="132"/>
        <v>71474</v>
      </c>
      <c r="N372" s="63">
        <f t="shared" si="132"/>
        <v>2271</v>
      </c>
      <c r="O372" s="63">
        <f t="shared" ref="O372:O388" si="136">L372+M372+N372</f>
        <v>164758</v>
      </c>
      <c r="R372" s="62">
        <f t="shared" ref="R372:R389" si="137">G372+K372+O372</f>
        <v>896395</v>
      </c>
      <c r="S372" s="62">
        <f t="shared" ref="S372:S389" si="138">R372-C372</f>
        <v>0</v>
      </c>
      <c r="V372" s="62">
        <f t="shared" ref="V372:V389" si="139">D372+H372+L372</f>
        <v>495177</v>
      </c>
      <c r="W372" s="62">
        <f t="shared" si="133"/>
        <v>388864</v>
      </c>
      <c r="X372" s="62">
        <f t="shared" si="133"/>
        <v>12354</v>
      </c>
      <c r="Y372" s="62">
        <f t="shared" ref="Y372:Y389" si="140">V372+W372+X372</f>
        <v>896395</v>
      </c>
      <c r="Z372" s="62">
        <f t="shared" ref="Z372:Z389" si="141">Y372-C372</f>
        <v>0</v>
      </c>
    </row>
    <row r="373" spans="1:34" ht="34.5" customHeight="1" x14ac:dyDescent="0.25">
      <c r="A373" s="56" t="s">
        <v>24</v>
      </c>
      <c r="B373" s="54" t="s">
        <v>13</v>
      </c>
      <c r="C373" s="55">
        <f t="shared" si="130"/>
        <v>6371092</v>
      </c>
      <c r="D373" s="55">
        <f t="shared" si="130"/>
        <v>0</v>
      </c>
      <c r="E373" s="55">
        <f t="shared" si="130"/>
        <v>361115</v>
      </c>
      <c r="F373" s="55">
        <f t="shared" si="130"/>
        <v>0</v>
      </c>
      <c r="G373" s="55">
        <f t="shared" si="134"/>
        <v>361115</v>
      </c>
      <c r="H373" s="63">
        <f t="shared" si="131"/>
        <v>0</v>
      </c>
      <c r="I373" s="63">
        <f t="shared" si="131"/>
        <v>5352673</v>
      </c>
      <c r="J373" s="63">
        <f t="shared" si="131"/>
        <v>0</v>
      </c>
      <c r="K373" s="63">
        <f t="shared" si="135"/>
        <v>5352673</v>
      </c>
      <c r="L373" s="63">
        <f t="shared" si="132"/>
        <v>0</v>
      </c>
      <c r="M373" s="63">
        <f t="shared" si="132"/>
        <v>657304</v>
      </c>
      <c r="N373" s="63">
        <f t="shared" si="132"/>
        <v>0</v>
      </c>
      <c r="O373" s="63">
        <f t="shared" si="136"/>
        <v>657304</v>
      </c>
      <c r="R373" s="62">
        <f t="shared" si="137"/>
        <v>6371092</v>
      </c>
      <c r="S373" s="62">
        <f t="shared" si="138"/>
        <v>0</v>
      </c>
      <c r="V373" s="62">
        <f t="shared" si="139"/>
        <v>0</v>
      </c>
      <c r="W373" s="62">
        <f t="shared" si="133"/>
        <v>6371092</v>
      </c>
      <c r="X373" s="62">
        <f t="shared" si="133"/>
        <v>0</v>
      </c>
      <c r="Y373" s="62">
        <f t="shared" si="140"/>
        <v>6371092</v>
      </c>
      <c r="Z373" s="62">
        <f t="shared" si="141"/>
        <v>0</v>
      </c>
    </row>
    <row r="374" spans="1:34" ht="40.5" customHeight="1" x14ac:dyDescent="0.25">
      <c r="A374" s="56" t="s">
        <v>22</v>
      </c>
      <c r="B374" s="54" t="s">
        <v>12</v>
      </c>
      <c r="C374" s="55">
        <f t="shared" si="130"/>
        <v>496123</v>
      </c>
      <c r="D374" s="55">
        <f t="shared" si="130"/>
        <v>57069</v>
      </c>
      <c r="E374" s="55">
        <f t="shared" si="130"/>
        <v>0</v>
      </c>
      <c r="F374" s="55">
        <f t="shared" si="130"/>
        <v>0</v>
      </c>
      <c r="G374" s="55">
        <f t="shared" si="134"/>
        <v>57069</v>
      </c>
      <c r="H374" s="63">
        <f t="shared" si="131"/>
        <v>371159</v>
      </c>
      <c r="I374" s="63">
        <f t="shared" si="131"/>
        <v>0</v>
      </c>
      <c r="J374" s="63">
        <f t="shared" si="131"/>
        <v>0</v>
      </c>
      <c r="K374" s="63">
        <f t="shared" si="135"/>
        <v>371159</v>
      </c>
      <c r="L374" s="63">
        <f t="shared" si="132"/>
        <v>67895</v>
      </c>
      <c r="M374" s="63">
        <f t="shared" si="132"/>
        <v>0</v>
      </c>
      <c r="N374" s="63">
        <f t="shared" si="132"/>
        <v>0</v>
      </c>
      <c r="O374" s="63">
        <f t="shared" si="136"/>
        <v>67895</v>
      </c>
      <c r="R374" s="62">
        <f t="shared" si="137"/>
        <v>496123</v>
      </c>
      <c r="S374" s="62">
        <f t="shared" si="138"/>
        <v>0</v>
      </c>
      <c r="V374" s="62">
        <f t="shared" si="139"/>
        <v>496123</v>
      </c>
      <c r="W374" s="62">
        <f t="shared" si="133"/>
        <v>0</v>
      </c>
      <c r="X374" s="62">
        <f t="shared" si="133"/>
        <v>0</v>
      </c>
      <c r="Y374" s="62">
        <f t="shared" si="140"/>
        <v>496123</v>
      </c>
      <c r="Z374" s="62">
        <f t="shared" si="141"/>
        <v>0</v>
      </c>
    </row>
    <row r="375" spans="1:34" ht="39.75" customHeight="1" x14ac:dyDescent="0.25">
      <c r="A375" s="56" t="s">
        <v>23</v>
      </c>
      <c r="B375" s="54" t="s">
        <v>11</v>
      </c>
      <c r="C375" s="55">
        <f t="shared" si="130"/>
        <v>680458</v>
      </c>
      <c r="D375" s="55">
        <f t="shared" si="130"/>
        <v>26509</v>
      </c>
      <c r="E375" s="55">
        <f t="shared" si="130"/>
        <v>42190</v>
      </c>
      <c r="F375" s="55">
        <f t="shared" si="130"/>
        <v>18298</v>
      </c>
      <c r="G375" s="55">
        <f t="shared" si="134"/>
        <v>86997</v>
      </c>
      <c r="H375" s="63">
        <f t="shared" si="131"/>
        <v>140622</v>
      </c>
      <c r="I375" s="63">
        <f t="shared" si="131"/>
        <v>223806</v>
      </c>
      <c r="J375" s="63">
        <f t="shared" si="131"/>
        <v>97065</v>
      </c>
      <c r="K375" s="63">
        <f t="shared" si="135"/>
        <v>461493</v>
      </c>
      <c r="L375" s="63">
        <f t="shared" si="132"/>
        <v>40210</v>
      </c>
      <c r="M375" s="63">
        <f t="shared" si="132"/>
        <v>64000</v>
      </c>
      <c r="N375" s="63">
        <f t="shared" si="132"/>
        <v>27758</v>
      </c>
      <c r="O375" s="63">
        <f t="shared" si="136"/>
        <v>131968</v>
      </c>
      <c r="R375" s="62">
        <f t="shared" si="137"/>
        <v>680458</v>
      </c>
      <c r="S375" s="62">
        <f t="shared" si="138"/>
        <v>0</v>
      </c>
      <c r="V375" s="62">
        <f t="shared" si="139"/>
        <v>207341</v>
      </c>
      <c r="W375" s="62">
        <f t="shared" si="133"/>
        <v>329996</v>
      </c>
      <c r="X375" s="62">
        <f t="shared" si="133"/>
        <v>143121</v>
      </c>
      <c r="Y375" s="62">
        <f t="shared" si="140"/>
        <v>680458</v>
      </c>
      <c r="Z375" s="62">
        <f t="shared" si="141"/>
        <v>0</v>
      </c>
    </row>
    <row r="376" spans="1:34" ht="28.5" customHeight="1" x14ac:dyDescent="0.25">
      <c r="A376" s="56" t="s">
        <v>20</v>
      </c>
      <c r="B376" s="54" t="s">
        <v>34</v>
      </c>
      <c r="C376" s="55">
        <f t="shared" si="130"/>
        <v>881889</v>
      </c>
      <c r="D376" s="55">
        <f t="shared" si="130"/>
        <v>165072</v>
      </c>
      <c r="E376" s="55">
        <f t="shared" si="130"/>
        <v>0</v>
      </c>
      <c r="F376" s="55">
        <f t="shared" si="130"/>
        <v>0</v>
      </c>
      <c r="G376" s="55">
        <f t="shared" si="134"/>
        <v>165072</v>
      </c>
      <c r="H376" s="63">
        <f t="shared" si="131"/>
        <v>538808</v>
      </c>
      <c r="I376" s="63">
        <f t="shared" si="131"/>
        <v>0</v>
      </c>
      <c r="J376" s="63">
        <f t="shared" si="131"/>
        <v>0</v>
      </c>
      <c r="K376" s="63">
        <f t="shared" si="135"/>
        <v>538808</v>
      </c>
      <c r="L376" s="63">
        <f t="shared" si="132"/>
        <v>178009</v>
      </c>
      <c r="M376" s="63">
        <f t="shared" si="132"/>
        <v>0</v>
      </c>
      <c r="N376" s="63">
        <f t="shared" si="132"/>
        <v>0</v>
      </c>
      <c r="O376" s="63">
        <f t="shared" si="136"/>
        <v>178009</v>
      </c>
      <c r="R376" s="62">
        <f t="shared" si="137"/>
        <v>881889</v>
      </c>
      <c r="S376" s="62">
        <f t="shared" si="138"/>
        <v>0</v>
      </c>
      <c r="V376" s="62">
        <f t="shared" si="139"/>
        <v>881889</v>
      </c>
      <c r="W376" s="62">
        <f t="shared" si="133"/>
        <v>0</v>
      </c>
      <c r="X376" s="62">
        <f t="shared" si="133"/>
        <v>0</v>
      </c>
      <c r="Y376" s="62">
        <f t="shared" si="140"/>
        <v>881889</v>
      </c>
      <c r="Z376" s="62">
        <f t="shared" si="141"/>
        <v>0</v>
      </c>
    </row>
    <row r="377" spans="1:34" ht="34.5" customHeight="1" x14ac:dyDescent="0.25">
      <c r="A377" s="56" t="s">
        <v>22</v>
      </c>
      <c r="B377" s="54" t="s">
        <v>10</v>
      </c>
      <c r="C377" s="55">
        <f t="shared" si="130"/>
        <v>3433060</v>
      </c>
      <c r="D377" s="55">
        <f t="shared" si="130"/>
        <v>74566</v>
      </c>
      <c r="E377" s="55">
        <f t="shared" si="130"/>
        <v>97539</v>
      </c>
      <c r="F377" s="55">
        <f t="shared" si="130"/>
        <v>4593</v>
      </c>
      <c r="G377" s="55">
        <f t="shared" si="134"/>
        <v>176698</v>
      </c>
      <c r="H377" s="63">
        <f t="shared" si="131"/>
        <v>1159751</v>
      </c>
      <c r="I377" s="63">
        <f t="shared" si="131"/>
        <v>1517031</v>
      </c>
      <c r="J377" s="63">
        <f t="shared" si="131"/>
        <v>71452</v>
      </c>
      <c r="K377" s="63">
        <f t="shared" si="135"/>
        <v>2748234</v>
      </c>
      <c r="L377" s="63">
        <f t="shared" si="132"/>
        <v>214430</v>
      </c>
      <c r="M377" s="63">
        <f t="shared" si="132"/>
        <v>280488</v>
      </c>
      <c r="N377" s="63">
        <f t="shared" si="132"/>
        <v>13210</v>
      </c>
      <c r="O377" s="63">
        <f t="shared" si="136"/>
        <v>508128</v>
      </c>
      <c r="R377" s="62">
        <f t="shared" si="137"/>
        <v>3433060</v>
      </c>
      <c r="S377" s="62">
        <f t="shared" si="138"/>
        <v>0</v>
      </c>
      <c r="V377" s="62">
        <f t="shared" si="139"/>
        <v>1448747</v>
      </c>
      <c r="W377" s="62">
        <f t="shared" si="133"/>
        <v>1895058</v>
      </c>
      <c r="X377" s="62">
        <f t="shared" si="133"/>
        <v>89255</v>
      </c>
      <c r="Y377" s="62">
        <f t="shared" si="140"/>
        <v>3433060</v>
      </c>
      <c r="Z377" s="62">
        <f t="shared" si="141"/>
        <v>0</v>
      </c>
    </row>
    <row r="378" spans="1:34" ht="25.5" customHeight="1" x14ac:dyDescent="0.25">
      <c r="A378" s="56" t="s">
        <v>21</v>
      </c>
      <c r="B378" s="54" t="s">
        <v>9</v>
      </c>
      <c r="C378" s="55">
        <f t="shared" si="130"/>
        <v>4064380</v>
      </c>
      <c r="D378" s="55">
        <f t="shared" si="130"/>
        <v>375164</v>
      </c>
      <c r="E378" s="55">
        <f t="shared" si="130"/>
        <v>585701</v>
      </c>
      <c r="F378" s="55">
        <f t="shared" si="130"/>
        <v>18083</v>
      </c>
      <c r="G378" s="55">
        <f t="shared" si="134"/>
        <v>978948</v>
      </c>
      <c r="H378" s="63">
        <f t="shared" si="131"/>
        <v>1172258</v>
      </c>
      <c r="I378" s="63">
        <f t="shared" si="131"/>
        <v>1830097</v>
      </c>
      <c r="J378" s="63">
        <f t="shared" si="131"/>
        <v>56497</v>
      </c>
      <c r="K378" s="63">
        <f t="shared" si="135"/>
        <v>3058852</v>
      </c>
      <c r="L378" s="63">
        <f t="shared" si="132"/>
        <v>10187</v>
      </c>
      <c r="M378" s="63">
        <f t="shared" si="132"/>
        <v>15903</v>
      </c>
      <c r="N378" s="63">
        <f t="shared" si="132"/>
        <v>490</v>
      </c>
      <c r="O378" s="63">
        <f t="shared" si="136"/>
        <v>26580</v>
      </c>
      <c r="R378" s="62">
        <f t="shared" si="137"/>
        <v>4064380</v>
      </c>
      <c r="S378" s="62">
        <f t="shared" si="138"/>
        <v>0</v>
      </c>
      <c r="V378" s="62">
        <f t="shared" si="139"/>
        <v>1557609</v>
      </c>
      <c r="W378" s="62">
        <f t="shared" si="133"/>
        <v>2431701</v>
      </c>
      <c r="X378" s="62">
        <f t="shared" si="133"/>
        <v>75070</v>
      </c>
      <c r="Y378" s="62">
        <f t="shared" si="140"/>
        <v>4064380</v>
      </c>
      <c r="Z378" s="62">
        <f t="shared" si="141"/>
        <v>0</v>
      </c>
    </row>
    <row r="379" spans="1:34" ht="25.5" customHeight="1" x14ac:dyDescent="0.25">
      <c r="A379" s="56" t="s">
        <v>25</v>
      </c>
      <c r="B379" s="54" t="s">
        <v>8</v>
      </c>
      <c r="C379" s="55">
        <f t="shared" si="130"/>
        <v>4451028</v>
      </c>
      <c r="D379" s="55">
        <f t="shared" si="130"/>
        <v>30279</v>
      </c>
      <c r="E379" s="55">
        <f t="shared" si="130"/>
        <v>145537</v>
      </c>
      <c r="F379" s="55">
        <f t="shared" si="130"/>
        <v>0</v>
      </c>
      <c r="G379" s="55">
        <f t="shared" si="134"/>
        <v>175816</v>
      </c>
      <c r="H379" s="63">
        <f t="shared" si="131"/>
        <v>491418</v>
      </c>
      <c r="I379" s="63">
        <f t="shared" si="131"/>
        <v>2362047</v>
      </c>
      <c r="J379" s="63">
        <f t="shared" si="131"/>
        <v>0</v>
      </c>
      <c r="K379" s="63">
        <f t="shared" si="135"/>
        <v>2853465</v>
      </c>
      <c r="L379" s="63">
        <f t="shared" si="132"/>
        <v>244850</v>
      </c>
      <c r="M379" s="63">
        <f t="shared" si="132"/>
        <v>1176897</v>
      </c>
      <c r="N379" s="63">
        <f t="shared" si="132"/>
        <v>0</v>
      </c>
      <c r="O379" s="63">
        <f t="shared" si="136"/>
        <v>1421747</v>
      </c>
      <c r="R379" s="62">
        <f t="shared" si="137"/>
        <v>4451028</v>
      </c>
      <c r="S379" s="62">
        <f t="shared" si="138"/>
        <v>0</v>
      </c>
      <c r="V379" s="62">
        <f t="shared" si="139"/>
        <v>766547</v>
      </c>
      <c r="W379" s="62">
        <f t="shared" si="133"/>
        <v>3684481</v>
      </c>
      <c r="X379" s="62">
        <f t="shared" si="133"/>
        <v>0</v>
      </c>
      <c r="Y379" s="62">
        <f t="shared" si="140"/>
        <v>4451028</v>
      </c>
      <c r="Z379" s="62">
        <f t="shared" si="141"/>
        <v>0</v>
      </c>
    </row>
    <row r="380" spans="1:34" ht="25.5" customHeight="1" x14ac:dyDescent="0.25">
      <c r="A380" s="56" t="s">
        <v>26</v>
      </c>
      <c r="B380" s="54" t="s">
        <v>7</v>
      </c>
      <c r="C380" s="55">
        <f t="shared" si="130"/>
        <v>2769862</v>
      </c>
      <c r="D380" s="55">
        <f t="shared" si="130"/>
        <v>6035</v>
      </c>
      <c r="E380" s="55">
        <f t="shared" si="130"/>
        <v>44571</v>
      </c>
      <c r="F380" s="55">
        <f t="shared" si="130"/>
        <v>0</v>
      </c>
      <c r="G380" s="55">
        <f t="shared" si="134"/>
        <v>50606</v>
      </c>
      <c r="H380" s="63">
        <f t="shared" si="131"/>
        <v>294828</v>
      </c>
      <c r="I380" s="63">
        <f t="shared" si="131"/>
        <v>2177495</v>
      </c>
      <c r="J380" s="63">
        <f t="shared" si="131"/>
        <v>0</v>
      </c>
      <c r="K380" s="63">
        <f t="shared" si="135"/>
        <v>2472323</v>
      </c>
      <c r="L380" s="63">
        <f t="shared" si="132"/>
        <v>29448</v>
      </c>
      <c r="M380" s="63">
        <f t="shared" si="132"/>
        <v>217485</v>
      </c>
      <c r="N380" s="63">
        <f t="shared" si="132"/>
        <v>0</v>
      </c>
      <c r="O380" s="63">
        <f t="shared" si="136"/>
        <v>246933</v>
      </c>
      <c r="R380" s="62">
        <f t="shared" si="137"/>
        <v>2769862</v>
      </c>
      <c r="S380" s="62">
        <f t="shared" si="138"/>
        <v>0</v>
      </c>
      <c r="V380" s="62">
        <f t="shared" si="139"/>
        <v>330311</v>
      </c>
      <c r="W380" s="62">
        <f t="shared" si="133"/>
        <v>2439551</v>
      </c>
      <c r="X380" s="62">
        <f t="shared" si="133"/>
        <v>0</v>
      </c>
      <c r="Y380" s="62">
        <f t="shared" si="140"/>
        <v>2769862</v>
      </c>
      <c r="Z380" s="62">
        <f t="shared" si="141"/>
        <v>0</v>
      </c>
    </row>
    <row r="381" spans="1:34" ht="25.5" customHeight="1" x14ac:dyDescent="0.25">
      <c r="A381" s="56" t="s">
        <v>20</v>
      </c>
      <c r="B381" s="54" t="s">
        <v>6</v>
      </c>
      <c r="C381" s="55">
        <f t="shared" si="130"/>
        <v>3612843</v>
      </c>
      <c r="D381" s="55">
        <f t="shared" si="130"/>
        <v>13803</v>
      </c>
      <c r="E381" s="55">
        <f t="shared" si="130"/>
        <v>10968</v>
      </c>
      <c r="F381" s="55">
        <f t="shared" si="130"/>
        <v>408</v>
      </c>
      <c r="G381" s="55">
        <f t="shared" si="134"/>
        <v>25179</v>
      </c>
      <c r="H381" s="63">
        <f t="shared" si="131"/>
        <v>1963453</v>
      </c>
      <c r="I381" s="63">
        <f t="shared" si="131"/>
        <v>1560426</v>
      </c>
      <c r="J381" s="63">
        <f t="shared" si="131"/>
        <v>58364</v>
      </c>
      <c r="K381" s="63">
        <f t="shared" si="135"/>
        <v>3582243</v>
      </c>
      <c r="L381" s="63">
        <f t="shared" si="132"/>
        <v>2971</v>
      </c>
      <c r="M381" s="63">
        <f t="shared" si="132"/>
        <v>2361</v>
      </c>
      <c r="N381" s="63">
        <f t="shared" si="132"/>
        <v>89</v>
      </c>
      <c r="O381" s="63">
        <f t="shared" si="136"/>
        <v>5421</v>
      </c>
      <c r="R381" s="62">
        <f t="shared" si="137"/>
        <v>3612843</v>
      </c>
      <c r="S381" s="62">
        <f t="shared" si="138"/>
        <v>0</v>
      </c>
      <c r="V381" s="62">
        <f t="shared" si="139"/>
        <v>1980227</v>
      </c>
      <c r="W381" s="62">
        <f t="shared" si="133"/>
        <v>1573755</v>
      </c>
      <c r="X381" s="62">
        <f t="shared" si="133"/>
        <v>58861</v>
      </c>
      <c r="Y381" s="62">
        <f t="shared" si="140"/>
        <v>3612843</v>
      </c>
      <c r="Z381" s="62">
        <f t="shared" si="141"/>
        <v>0</v>
      </c>
    </row>
    <row r="382" spans="1:34" ht="25.5" customHeight="1" x14ac:dyDescent="0.25">
      <c r="A382" s="56" t="s">
        <v>19</v>
      </c>
      <c r="B382" s="54" t="s">
        <v>5</v>
      </c>
      <c r="C382" s="55">
        <f t="shared" si="130"/>
        <v>4925029</v>
      </c>
      <c r="D382" s="55">
        <f t="shared" si="130"/>
        <v>160054</v>
      </c>
      <c r="E382" s="55">
        <f t="shared" si="130"/>
        <v>491334</v>
      </c>
      <c r="F382" s="55">
        <f t="shared" si="130"/>
        <v>29987</v>
      </c>
      <c r="G382" s="55">
        <f t="shared" si="134"/>
        <v>681375</v>
      </c>
      <c r="H382" s="63">
        <f t="shared" si="131"/>
        <v>987126</v>
      </c>
      <c r="I382" s="63">
        <f t="shared" si="131"/>
        <v>3030250</v>
      </c>
      <c r="J382" s="63">
        <f t="shared" si="131"/>
        <v>184957</v>
      </c>
      <c r="K382" s="63">
        <f t="shared" si="135"/>
        <v>4202333</v>
      </c>
      <c r="L382" s="63">
        <f t="shared" si="132"/>
        <v>9705</v>
      </c>
      <c r="M382" s="63">
        <f t="shared" si="132"/>
        <v>29796</v>
      </c>
      <c r="N382" s="63">
        <f t="shared" si="132"/>
        <v>1820</v>
      </c>
      <c r="O382" s="63">
        <f t="shared" si="136"/>
        <v>41321</v>
      </c>
      <c r="R382" s="62">
        <f t="shared" si="137"/>
        <v>4925029</v>
      </c>
      <c r="S382" s="62">
        <f t="shared" si="138"/>
        <v>0</v>
      </c>
      <c r="V382" s="62">
        <f t="shared" si="139"/>
        <v>1156885</v>
      </c>
      <c r="W382" s="62">
        <f t="shared" si="133"/>
        <v>3551380</v>
      </c>
      <c r="X382" s="62">
        <f t="shared" si="133"/>
        <v>216764</v>
      </c>
      <c r="Y382" s="62">
        <f t="shared" si="140"/>
        <v>4925029</v>
      </c>
      <c r="Z382" s="62">
        <f t="shared" si="141"/>
        <v>0</v>
      </c>
    </row>
    <row r="383" spans="1:34" ht="25.5" customHeight="1" x14ac:dyDescent="0.25">
      <c r="A383" s="56" t="s">
        <v>18</v>
      </c>
      <c r="B383" s="54" t="s">
        <v>4</v>
      </c>
      <c r="C383" s="55">
        <f t="shared" si="130"/>
        <v>4518368</v>
      </c>
      <c r="D383" s="55">
        <f t="shared" si="130"/>
        <v>87618</v>
      </c>
      <c r="E383" s="55">
        <f t="shared" si="130"/>
        <v>147648</v>
      </c>
      <c r="F383" s="55">
        <f t="shared" si="130"/>
        <v>6106</v>
      </c>
      <c r="G383" s="55">
        <f t="shared" si="134"/>
        <v>241372</v>
      </c>
      <c r="H383" s="63">
        <f t="shared" si="131"/>
        <v>1501243</v>
      </c>
      <c r="I383" s="63">
        <f t="shared" si="131"/>
        <v>2529850</v>
      </c>
      <c r="J383" s="63">
        <f t="shared" si="131"/>
        <v>104612</v>
      </c>
      <c r="K383" s="63">
        <f t="shared" si="135"/>
        <v>4135705</v>
      </c>
      <c r="L383" s="63">
        <f t="shared" si="132"/>
        <v>51287</v>
      </c>
      <c r="M383" s="63">
        <f t="shared" si="132"/>
        <v>86429</v>
      </c>
      <c r="N383" s="63">
        <f t="shared" si="132"/>
        <v>3575</v>
      </c>
      <c r="O383" s="63">
        <f t="shared" si="136"/>
        <v>141291</v>
      </c>
      <c r="R383" s="62">
        <f t="shared" si="137"/>
        <v>4518368</v>
      </c>
      <c r="S383" s="62">
        <f t="shared" si="138"/>
        <v>0</v>
      </c>
      <c r="V383" s="62">
        <f t="shared" si="139"/>
        <v>1640148</v>
      </c>
      <c r="W383" s="62">
        <f t="shared" si="133"/>
        <v>2763927</v>
      </c>
      <c r="X383" s="62">
        <f t="shared" si="133"/>
        <v>114293</v>
      </c>
      <c r="Y383" s="62">
        <f t="shared" si="140"/>
        <v>4518368</v>
      </c>
      <c r="Z383" s="62">
        <f t="shared" si="141"/>
        <v>0</v>
      </c>
    </row>
    <row r="384" spans="1:34" ht="25.5" customHeight="1" x14ac:dyDescent="0.25">
      <c r="A384" s="56" t="s">
        <v>25</v>
      </c>
      <c r="B384" s="54" t="s">
        <v>3</v>
      </c>
      <c r="C384" s="55">
        <f t="shared" si="130"/>
        <v>3248498</v>
      </c>
      <c r="D384" s="55">
        <f t="shared" si="130"/>
        <v>155704</v>
      </c>
      <c r="E384" s="55">
        <f t="shared" si="130"/>
        <v>76652</v>
      </c>
      <c r="F384" s="55">
        <f t="shared" si="130"/>
        <v>7188</v>
      </c>
      <c r="G384" s="55">
        <f t="shared" si="134"/>
        <v>239544</v>
      </c>
      <c r="H384" s="63">
        <f t="shared" si="131"/>
        <v>1739679</v>
      </c>
      <c r="I384" s="63">
        <f t="shared" si="131"/>
        <v>856446</v>
      </c>
      <c r="J384" s="63">
        <f t="shared" si="131"/>
        <v>80312</v>
      </c>
      <c r="K384" s="63">
        <f t="shared" si="135"/>
        <v>2676437</v>
      </c>
      <c r="L384" s="63">
        <f t="shared" si="132"/>
        <v>216135</v>
      </c>
      <c r="M384" s="63">
        <f t="shared" si="132"/>
        <v>106404</v>
      </c>
      <c r="N384" s="63">
        <f t="shared" si="132"/>
        <v>9978</v>
      </c>
      <c r="O384" s="63">
        <f t="shared" si="136"/>
        <v>332517</v>
      </c>
      <c r="R384" s="62">
        <f t="shared" si="137"/>
        <v>3248498</v>
      </c>
      <c r="S384" s="62">
        <f t="shared" si="138"/>
        <v>0</v>
      </c>
      <c r="V384" s="62">
        <f t="shared" si="139"/>
        <v>2111518</v>
      </c>
      <c r="W384" s="62">
        <f t="shared" si="133"/>
        <v>1039502</v>
      </c>
      <c r="X384" s="62">
        <f t="shared" si="133"/>
        <v>97478</v>
      </c>
      <c r="Y384" s="62">
        <f t="shared" si="140"/>
        <v>3248498</v>
      </c>
      <c r="Z384" s="62">
        <f t="shared" si="141"/>
        <v>0</v>
      </c>
    </row>
    <row r="385" spans="1:34" ht="54" customHeight="1" x14ac:dyDescent="0.25">
      <c r="A385" s="56" t="s">
        <v>30</v>
      </c>
      <c r="B385" s="54" t="s">
        <v>2</v>
      </c>
      <c r="C385" s="55">
        <f t="shared" si="130"/>
        <v>289294</v>
      </c>
      <c r="D385" s="55">
        <f t="shared" si="130"/>
        <v>8193</v>
      </c>
      <c r="E385" s="55">
        <f t="shared" si="130"/>
        <v>0</v>
      </c>
      <c r="F385" s="55">
        <f t="shared" si="130"/>
        <v>0</v>
      </c>
      <c r="G385" s="55">
        <f t="shared" si="134"/>
        <v>8193</v>
      </c>
      <c r="H385" s="63">
        <f t="shared" si="131"/>
        <v>242188</v>
      </c>
      <c r="I385" s="63">
        <f t="shared" si="131"/>
        <v>0</v>
      </c>
      <c r="J385" s="63">
        <f t="shared" si="131"/>
        <v>0</v>
      </c>
      <c r="K385" s="63">
        <f t="shared" si="135"/>
        <v>242188</v>
      </c>
      <c r="L385" s="63">
        <f t="shared" si="132"/>
        <v>38913</v>
      </c>
      <c r="M385" s="63">
        <f t="shared" si="132"/>
        <v>0</v>
      </c>
      <c r="N385" s="63">
        <f t="shared" si="132"/>
        <v>0</v>
      </c>
      <c r="O385" s="63">
        <f t="shared" si="136"/>
        <v>38913</v>
      </c>
      <c r="R385" s="62">
        <f t="shared" si="137"/>
        <v>289294</v>
      </c>
      <c r="S385" s="62">
        <f t="shared" si="138"/>
        <v>0</v>
      </c>
      <c r="V385" s="62">
        <f t="shared" si="139"/>
        <v>289294</v>
      </c>
      <c r="W385" s="62">
        <f t="shared" si="133"/>
        <v>0</v>
      </c>
      <c r="X385" s="62">
        <f t="shared" si="133"/>
        <v>0</v>
      </c>
      <c r="Y385" s="62">
        <f t="shared" si="140"/>
        <v>289294</v>
      </c>
      <c r="Z385" s="62">
        <f t="shared" si="141"/>
        <v>0</v>
      </c>
    </row>
    <row r="386" spans="1:34" ht="39.75" customHeight="1" x14ac:dyDescent="0.25">
      <c r="A386" s="56" t="s">
        <v>31</v>
      </c>
      <c r="B386" s="54" t="s">
        <v>1</v>
      </c>
      <c r="C386" s="55">
        <f t="shared" si="130"/>
        <v>217800</v>
      </c>
      <c r="D386" s="55">
        <f t="shared" si="130"/>
        <v>16200</v>
      </c>
      <c r="E386" s="55">
        <f t="shared" si="130"/>
        <v>0</v>
      </c>
      <c r="F386" s="55">
        <f t="shared" si="130"/>
        <v>0</v>
      </c>
      <c r="G386" s="55">
        <f t="shared" si="134"/>
        <v>16200</v>
      </c>
      <c r="H386" s="63">
        <f t="shared" si="131"/>
        <v>192814</v>
      </c>
      <c r="I386" s="63">
        <f t="shared" si="131"/>
        <v>0</v>
      </c>
      <c r="J386" s="63">
        <f t="shared" si="131"/>
        <v>0</v>
      </c>
      <c r="K386" s="63">
        <f t="shared" si="135"/>
        <v>192814</v>
      </c>
      <c r="L386" s="63">
        <f t="shared" si="132"/>
        <v>8786</v>
      </c>
      <c r="M386" s="63">
        <f t="shared" si="132"/>
        <v>0</v>
      </c>
      <c r="N386" s="63">
        <f t="shared" si="132"/>
        <v>0</v>
      </c>
      <c r="O386" s="63">
        <f t="shared" si="136"/>
        <v>8786</v>
      </c>
      <c r="R386" s="62">
        <f t="shared" si="137"/>
        <v>217800</v>
      </c>
      <c r="S386" s="62">
        <f t="shared" si="138"/>
        <v>0</v>
      </c>
      <c r="V386" s="62">
        <f t="shared" si="139"/>
        <v>217800</v>
      </c>
      <c r="W386" s="62">
        <f t="shared" si="133"/>
        <v>0</v>
      </c>
      <c r="X386" s="62">
        <f t="shared" si="133"/>
        <v>0</v>
      </c>
      <c r="Y386" s="62">
        <f t="shared" si="140"/>
        <v>217800</v>
      </c>
      <c r="Z386" s="62">
        <f t="shared" si="141"/>
        <v>0</v>
      </c>
    </row>
    <row r="387" spans="1:34" ht="33" customHeight="1" x14ac:dyDescent="0.25">
      <c r="A387" s="56" t="s">
        <v>32</v>
      </c>
      <c r="B387" s="54" t="s">
        <v>73</v>
      </c>
      <c r="C387" s="55">
        <f t="shared" ref="C387:F388" si="142">C314+C338+C363</f>
        <v>123735</v>
      </c>
      <c r="D387" s="55">
        <f t="shared" si="142"/>
        <v>24336</v>
      </c>
      <c r="E387" s="55">
        <f t="shared" si="142"/>
        <v>0</v>
      </c>
      <c r="F387" s="55">
        <f t="shared" si="142"/>
        <v>0</v>
      </c>
      <c r="G387" s="55">
        <f t="shared" si="134"/>
        <v>24336</v>
      </c>
      <c r="H387" s="63">
        <f t="shared" ref="H387:J388" si="143">H314+H338+H363</f>
        <v>79668</v>
      </c>
      <c r="I387" s="63">
        <f t="shared" si="143"/>
        <v>0</v>
      </c>
      <c r="J387" s="63">
        <f t="shared" si="143"/>
        <v>0</v>
      </c>
      <c r="K387" s="63">
        <f t="shared" si="135"/>
        <v>79668</v>
      </c>
      <c r="L387" s="63">
        <f t="shared" ref="L387:N388" si="144">L314+L338+L363</f>
        <v>19731</v>
      </c>
      <c r="M387" s="63">
        <f t="shared" si="144"/>
        <v>0</v>
      </c>
      <c r="N387" s="63">
        <f t="shared" si="144"/>
        <v>0</v>
      </c>
      <c r="O387" s="63">
        <f t="shared" si="136"/>
        <v>19731</v>
      </c>
      <c r="R387" s="62">
        <f t="shared" si="137"/>
        <v>123735</v>
      </c>
      <c r="S387" s="62">
        <f t="shared" si="138"/>
        <v>0</v>
      </c>
      <c r="V387" s="62">
        <f t="shared" si="139"/>
        <v>123735</v>
      </c>
      <c r="W387" s="62">
        <f t="shared" si="133"/>
        <v>0</v>
      </c>
      <c r="X387" s="62">
        <f t="shared" si="133"/>
        <v>0</v>
      </c>
      <c r="Y387" s="62">
        <f t="shared" si="140"/>
        <v>123735</v>
      </c>
      <c r="Z387" s="62">
        <f t="shared" si="141"/>
        <v>0</v>
      </c>
    </row>
    <row r="388" spans="1:34" ht="33" customHeight="1" x14ac:dyDescent="0.25">
      <c r="A388" s="56" t="s">
        <v>90</v>
      </c>
      <c r="B388" s="70" t="s">
        <v>91</v>
      </c>
      <c r="C388" s="55">
        <f t="shared" si="142"/>
        <v>184986</v>
      </c>
      <c r="D388" s="55">
        <f t="shared" si="142"/>
        <v>0</v>
      </c>
      <c r="E388" s="55">
        <f t="shared" si="142"/>
        <v>31308</v>
      </c>
      <c r="F388" s="55">
        <f t="shared" si="142"/>
        <v>0</v>
      </c>
      <c r="G388" s="55">
        <f t="shared" si="134"/>
        <v>31308</v>
      </c>
      <c r="H388" s="63">
        <f t="shared" si="143"/>
        <v>0</v>
      </c>
      <c r="I388" s="63">
        <f t="shared" si="143"/>
        <v>102918</v>
      </c>
      <c r="J388" s="63">
        <f t="shared" si="143"/>
        <v>0</v>
      </c>
      <c r="K388" s="63">
        <f t="shared" si="135"/>
        <v>102918</v>
      </c>
      <c r="L388" s="63">
        <f t="shared" si="144"/>
        <v>0</v>
      </c>
      <c r="M388" s="63">
        <f t="shared" si="144"/>
        <v>50760</v>
      </c>
      <c r="N388" s="63">
        <f t="shared" si="144"/>
        <v>0</v>
      </c>
      <c r="O388" s="63">
        <f t="shared" si="136"/>
        <v>50760</v>
      </c>
      <c r="R388" s="62">
        <f t="shared" si="137"/>
        <v>184986</v>
      </c>
      <c r="S388" s="62">
        <f>R388-C388</f>
        <v>0</v>
      </c>
      <c r="V388" s="62">
        <f t="shared" si="139"/>
        <v>0</v>
      </c>
      <c r="W388" s="62">
        <f t="shared" si="133"/>
        <v>184986</v>
      </c>
      <c r="X388" s="62">
        <f t="shared" si="133"/>
        <v>0</v>
      </c>
      <c r="Y388" s="62">
        <f t="shared" si="140"/>
        <v>184986</v>
      </c>
      <c r="Z388" s="62">
        <f t="shared" si="141"/>
        <v>0</v>
      </c>
    </row>
    <row r="389" spans="1:34" ht="25.5" customHeight="1" x14ac:dyDescent="0.25">
      <c r="A389" s="57"/>
      <c r="B389" s="57" t="s">
        <v>0</v>
      </c>
      <c r="C389" s="58">
        <f>SUM(C371:C388)</f>
        <v>56669109</v>
      </c>
      <c r="D389" s="58">
        <f t="shared" ref="D389:O389" si="145">SUM(D371:D388)</f>
        <v>1690535</v>
      </c>
      <c r="E389" s="58">
        <f t="shared" si="145"/>
        <v>4146950</v>
      </c>
      <c r="F389" s="58">
        <f t="shared" si="145"/>
        <v>87223</v>
      </c>
      <c r="G389" s="58">
        <f t="shared" si="145"/>
        <v>5924708</v>
      </c>
      <c r="H389" s="58">
        <f t="shared" si="145"/>
        <v>12809763</v>
      </c>
      <c r="I389" s="58">
        <f t="shared" si="145"/>
        <v>30347224</v>
      </c>
      <c r="J389" s="58">
        <f t="shared" si="145"/>
        <v>660782</v>
      </c>
      <c r="K389" s="58">
        <f t="shared" si="145"/>
        <v>43817769</v>
      </c>
      <c r="L389" s="58">
        <f t="shared" si="145"/>
        <v>1685413</v>
      </c>
      <c r="M389" s="58">
        <f t="shared" si="145"/>
        <v>5182028</v>
      </c>
      <c r="N389" s="58">
        <f t="shared" si="145"/>
        <v>59191</v>
      </c>
      <c r="O389" s="58">
        <f t="shared" si="145"/>
        <v>6926632</v>
      </c>
      <c r="R389" s="62">
        <f t="shared" si="137"/>
        <v>56669109</v>
      </c>
      <c r="S389" s="62">
        <f t="shared" si="138"/>
        <v>0</v>
      </c>
      <c r="V389" s="62">
        <f t="shared" si="139"/>
        <v>16185711</v>
      </c>
      <c r="W389" s="62">
        <f t="shared" si="133"/>
        <v>39676202</v>
      </c>
      <c r="X389" s="62">
        <f t="shared" si="133"/>
        <v>807196</v>
      </c>
      <c r="Y389" s="62">
        <f t="shared" si="140"/>
        <v>56669109</v>
      </c>
      <c r="Z389" s="62">
        <f t="shared" si="141"/>
        <v>0</v>
      </c>
    </row>
    <row r="391" spans="1:34" x14ac:dyDescent="0.25">
      <c r="A391" s="158" t="s">
        <v>95</v>
      </c>
      <c r="B391" s="158"/>
      <c r="C391" s="158"/>
      <c r="D391" s="158"/>
      <c r="E391" s="158"/>
      <c r="F391" s="158"/>
      <c r="G391" s="158"/>
      <c r="H391" s="158"/>
      <c r="I391" s="158"/>
      <c r="J391" s="158"/>
      <c r="K391" s="158"/>
      <c r="L391" s="158"/>
      <c r="M391" s="158"/>
      <c r="N391" s="158"/>
      <c r="O391" s="158"/>
    </row>
    <row r="392" spans="1:34" s="4" customFormat="1" ht="28.5" customHeight="1" x14ac:dyDescent="0.25">
      <c r="A392" s="152" t="s">
        <v>17</v>
      </c>
      <c r="B392" s="152" t="s">
        <v>33</v>
      </c>
      <c r="C392" s="160" t="s">
        <v>99</v>
      </c>
      <c r="D392" s="152" t="s">
        <v>69</v>
      </c>
      <c r="E392" s="152"/>
      <c r="F392" s="152"/>
      <c r="G392" s="152"/>
      <c r="H392" s="152"/>
      <c r="I392" s="152"/>
      <c r="J392" s="152"/>
      <c r="K392" s="152"/>
      <c r="L392" s="152"/>
      <c r="M392" s="152"/>
      <c r="N392" s="152"/>
      <c r="O392" s="152"/>
      <c r="R392" s="61"/>
      <c r="S392" s="61"/>
      <c r="V392" s="61"/>
      <c r="W392" s="61"/>
      <c r="X392" s="61"/>
      <c r="Y392" s="61"/>
      <c r="Z392" s="61"/>
      <c r="AC392" s="95"/>
      <c r="AD392" s="95"/>
      <c r="AE392" s="95"/>
      <c r="AF392" s="95"/>
      <c r="AG392" s="93"/>
      <c r="AH392" s="95"/>
    </row>
    <row r="393" spans="1:34" s="4" customFormat="1" ht="41.25" customHeight="1" x14ac:dyDescent="0.25">
      <c r="A393" s="152"/>
      <c r="B393" s="152"/>
      <c r="C393" s="160"/>
      <c r="D393" s="154" t="s">
        <v>36</v>
      </c>
      <c r="E393" s="154"/>
      <c r="F393" s="154"/>
      <c r="G393" s="154"/>
      <c r="H393" s="155" t="s">
        <v>37</v>
      </c>
      <c r="I393" s="156"/>
      <c r="J393" s="156"/>
      <c r="K393" s="157"/>
      <c r="L393" s="155" t="s">
        <v>38</v>
      </c>
      <c r="M393" s="156"/>
      <c r="N393" s="156"/>
      <c r="O393" s="157"/>
      <c r="R393" s="61"/>
      <c r="S393" s="61"/>
      <c r="V393" s="61"/>
      <c r="W393" s="61"/>
      <c r="X393" s="61"/>
      <c r="Y393" s="61"/>
      <c r="Z393" s="61"/>
      <c r="AC393" s="95"/>
      <c r="AD393" s="95"/>
      <c r="AE393" s="95"/>
      <c r="AF393" s="95"/>
      <c r="AG393" s="93"/>
      <c r="AH393" s="95"/>
    </row>
    <row r="394" spans="1:34" s="4" customFormat="1" ht="59.25" customHeight="1" x14ac:dyDescent="0.25">
      <c r="A394" s="152"/>
      <c r="B394" s="152"/>
      <c r="C394" s="160"/>
      <c r="D394" s="83" t="s">
        <v>66</v>
      </c>
      <c r="E394" s="83" t="s">
        <v>67</v>
      </c>
      <c r="F394" s="83" t="s">
        <v>68</v>
      </c>
      <c r="G394" s="83" t="s">
        <v>70</v>
      </c>
      <c r="H394" s="65" t="s">
        <v>66</v>
      </c>
      <c r="I394" s="65" t="s">
        <v>67</v>
      </c>
      <c r="J394" s="65" t="s">
        <v>68</v>
      </c>
      <c r="K394" s="65" t="s">
        <v>71</v>
      </c>
      <c r="L394" s="65" t="s">
        <v>66</v>
      </c>
      <c r="M394" s="65" t="s">
        <v>67</v>
      </c>
      <c r="N394" s="65" t="s">
        <v>68</v>
      </c>
      <c r="O394" s="65" t="s">
        <v>72</v>
      </c>
      <c r="R394" s="61"/>
      <c r="S394" s="61"/>
      <c r="V394" s="61" t="s">
        <v>44</v>
      </c>
      <c r="W394" s="61" t="s">
        <v>96</v>
      </c>
      <c r="X394" s="61" t="s">
        <v>97</v>
      </c>
      <c r="Y394" s="61"/>
      <c r="Z394" s="61"/>
      <c r="AC394" s="95"/>
      <c r="AD394" s="95"/>
      <c r="AE394" s="95"/>
      <c r="AF394" s="95"/>
      <c r="AG394" s="93"/>
      <c r="AH394" s="95"/>
    </row>
    <row r="395" spans="1:34" s="3" customFormat="1" ht="14.25" customHeight="1" x14ac:dyDescent="0.25">
      <c r="A395" s="53">
        <v>1</v>
      </c>
      <c r="B395" s="53">
        <v>2</v>
      </c>
      <c r="C395" s="53">
        <v>3</v>
      </c>
      <c r="D395" s="53">
        <v>4</v>
      </c>
      <c r="E395" s="53">
        <v>5</v>
      </c>
      <c r="F395" s="53">
        <v>6</v>
      </c>
      <c r="G395" s="53">
        <v>7</v>
      </c>
      <c r="H395" s="66">
        <v>8</v>
      </c>
      <c r="I395" s="66">
        <v>9</v>
      </c>
      <c r="J395" s="66">
        <v>10</v>
      </c>
      <c r="K395" s="66">
        <v>11</v>
      </c>
      <c r="L395" s="66">
        <v>12</v>
      </c>
      <c r="M395" s="66">
        <v>13</v>
      </c>
      <c r="N395" s="66">
        <v>14</v>
      </c>
      <c r="O395" s="66">
        <v>15</v>
      </c>
      <c r="R395" s="61"/>
      <c r="S395" s="61"/>
      <c r="V395" s="61"/>
      <c r="W395" s="61"/>
      <c r="X395" s="61"/>
      <c r="Y395" s="61"/>
      <c r="Z395" s="61"/>
      <c r="AC395" s="95"/>
      <c r="AD395" s="95"/>
      <c r="AE395" s="95"/>
      <c r="AF395" s="95"/>
      <c r="AG395" s="94"/>
      <c r="AH395" s="95"/>
    </row>
    <row r="396" spans="1:34" s="3" customFormat="1" ht="25.5" customHeight="1" x14ac:dyDescent="0.25">
      <c r="A396" s="53" t="s">
        <v>16</v>
      </c>
      <c r="B396" s="54" t="s">
        <v>15</v>
      </c>
      <c r="C396" s="63">
        <f t="shared" ref="C396:F409" si="146">C200+C224+C249+C298+C322+C347</f>
        <v>25391846</v>
      </c>
      <c r="D396" s="63">
        <f t="shared" si="146"/>
        <v>625556</v>
      </c>
      <c r="E396" s="63">
        <f t="shared" si="146"/>
        <v>3336331</v>
      </c>
      <c r="F396" s="63">
        <f t="shared" si="146"/>
        <v>0</v>
      </c>
      <c r="G396" s="55">
        <f>D396+E396+F396</f>
        <v>3961887</v>
      </c>
      <c r="H396" s="63">
        <f t="shared" ref="H396:J409" si="147">H200+H224+H249+H298+H322+H347</f>
        <v>2637735</v>
      </c>
      <c r="I396" s="63">
        <f t="shared" si="147"/>
        <v>14068070</v>
      </c>
      <c r="J396" s="63">
        <f t="shared" si="147"/>
        <v>0</v>
      </c>
      <c r="K396" s="63">
        <f>H396+I396+J396</f>
        <v>16705805</v>
      </c>
      <c r="L396" s="63">
        <f t="shared" ref="L396:N409" si="148">L200+L224+L249+L298+L322+L347</f>
        <v>745913</v>
      </c>
      <c r="M396" s="63">
        <f t="shared" si="148"/>
        <v>3978241</v>
      </c>
      <c r="N396" s="63">
        <f t="shared" si="148"/>
        <v>0</v>
      </c>
      <c r="O396" s="63">
        <f>L396+M396+N396</f>
        <v>4724154</v>
      </c>
      <c r="R396" s="62">
        <f>G396+K396+O396</f>
        <v>25391846</v>
      </c>
      <c r="S396" s="62">
        <f>R396-C396</f>
        <v>0</v>
      </c>
      <c r="V396" s="102">
        <f t="shared" ref="V396:X411" si="149">V200+V224+V249+V298+V322+V347</f>
        <v>4009204</v>
      </c>
      <c r="W396" s="102">
        <f t="shared" si="149"/>
        <v>21382642</v>
      </c>
      <c r="X396" s="102">
        <f t="shared" si="149"/>
        <v>0</v>
      </c>
      <c r="Y396" s="102">
        <f>V396+W396+X396</f>
        <v>25391846</v>
      </c>
      <c r="Z396" s="102">
        <f t="shared" ref="Z396:Z414" si="150">Y396-C396</f>
        <v>0</v>
      </c>
      <c r="AC396" s="98"/>
      <c r="AD396" s="98"/>
      <c r="AE396" s="98"/>
      <c r="AF396" s="98"/>
      <c r="AG396" s="96"/>
      <c r="AH396" s="95"/>
    </row>
    <row r="397" spans="1:34" ht="40.5" customHeight="1" x14ac:dyDescent="0.25">
      <c r="A397" s="56" t="s">
        <v>24</v>
      </c>
      <c r="B397" s="54" t="s">
        <v>14</v>
      </c>
      <c r="C397" s="63">
        <f t="shared" si="146"/>
        <v>1711896</v>
      </c>
      <c r="D397" s="63">
        <f t="shared" si="146"/>
        <v>188496</v>
      </c>
      <c r="E397" s="63">
        <f t="shared" si="146"/>
        <v>161114</v>
      </c>
      <c r="F397" s="63">
        <f t="shared" si="146"/>
        <v>5129</v>
      </c>
      <c r="G397" s="55">
        <f t="shared" ref="G397:G411" si="151">D397+E397+F397</f>
        <v>354739</v>
      </c>
      <c r="H397" s="63">
        <f t="shared" si="147"/>
        <v>553955</v>
      </c>
      <c r="I397" s="63">
        <f t="shared" si="147"/>
        <v>473484</v>
      </c>
      <c r="J397" s="63">
        <f t="shared" si="147"/>
        <v>15071</v>
      </c>
      <c r="K397" s="63">
        <f t="shared" ref="K397:K413" si="152">H397+I397+J397</f>
        <v>1042510</v>
      </c>
      <c r="L397" s="63">
        <f t="shared" si="148"/>
        <v>167192</v>
      </c>
      <c r="M397" s="63">
        <f t="shared" si="148"/>
        <v>142906</v>
      </c>
      <c r="N397" s="63">
        <f t="shared" si="148"/>
        <v>4549</v>
      </c>
      <c r="O397" s="63">
        <f t="shared" ref="O397:O413" si="153">L397+M397+N397</f>
        <v>314647</v>
      </c>
      <c r="R397" s="62">
        <f t="shared" ref="R397:R414" si="154">G397+K397+O397</f>
        <v>1711896</v>
      </c>
      <c r="S397" s="62">
        <f t="shared" ref="S397:S412" si="155">R397-C397</f>
        <v>0</v>
      </c>
      <c r="V397" s="62">
        <f t="shared" si="149"/>
        <v>909643</v>
      </c>
      <c r="W397" s="62">
        <f t="shared" si="149"/>
        <v>777504</v>
      </c>
      <c r="X397" s="62">
        <f t="shared" si="149"/>
        <v>24749</v>
      </c>
      <c r="Y397" s="62">
        <f t="shared" ref="Y397:Y414" si="156">V397+W397+X397</f>
        <v>1711896</v>
      </c>
      <c r="Z397" s="62">
        <f t="shared" si="150"/>
        <v>0</v>
      </c>
      <c r="AC397" s="98"/>
      <c r="AD397" s="98"/>
      <c r="AE397" s="98"/>
      <c r="AF397" s="98"/>
      <c r="AG397" s="96"/>
    </row>
    <row r="398" spans="1:34" ht="34.5" customHeight="1" x14ac:dyDescent="0.25">
      <c r="A398" s="56" t="s">
        <v>24</v>
      </c>
      <c r="B398" s="54" t="s">
        <v>13</v>
      </c>
      <c r="C398" s="63">
        <f t="shared" si="146"/>
        <v>8598799</v>
      </c>
      <c r="D398" s="63">
        <f t="shared" si="146"/>
        <v>0</v>
      </c>
      <c r="E398" s="63">
        <f t="shared" si="146"/>
        <v>487381</v>
      </c>
      <c r="F398" s="63">
        <f t="shared" si="146"/>
        <v>0</v>
      </c>
      <c r="G398" s="55">
        <f t="shared" si="151"/>
        <v>487381</v>
      </c>
      <c r="H398" s="63">
        <f t="shared" si="147"/>
        <v>0</v>
      </c>
      <c r="I398" s="63">
        <f t="shared" si="147"/>
        <v>7224282</v>
      </c>
      <c r="J398" s="63">
        <f t="shared" si="147"/>
        <v>0</v>
      </c>
      <c r="K398" s="63">
        <f t="shared" si="152"/>
        <v>7224282</v>
      </c>
      <c r="L398" s="63">
        <f t="shared" si="148"/>
        <v>0</v>
      </c>
      <c r="M398" s="63">
        <f t="shared" si="148"/>
        <v>887136</v>
      </c>
      <c r="N398" s="63">
        <f t="shared" si="148"/>
        <v>0</v>
      </c>
      <c r="O398" s="63">
        <f t="shared" si="153"/>
        <v>887136</v>
      </c>
      <c r="R398" s="62">
        <f t="shared" si="154"/>
        <v>8598799</v>
      </c>
      <c r="S398" s="62">
        <f t="shared" si="155"/>
        <v>0</v>
      </c>
      <c r="V398" s="102">
        <f t="shared" si="149"/>
        <v>0</v>
      </c>
      <c r="W398" s="102">
        <f t="shared" si="149"/>
        <v>8598799</v>
      </c>
      <c r="X398" s="102">
        <f t="shared" si="149"/>
        <v>0</v>
      </c>
      <c r="Y398" s="102">
        <f t="shared" si="156"/>
        <v>8598799</v>
      </c>
      <c r="Z398" s="102">
        <f t="shared" si="150"/>
        <v>0</v>
      </c>
      <c r="AC398" s="98"/>
      <c r="AD398" s="98"/>
      <c r="AE398" s="98"/>
      <c r="AF398" s="98"/>
      <c r="AG398" s="96"/>
    </row>
    <row r="399" spans="1:34" ht="40.5" customHeight="1" x14ac:dyDescent="0.25">
      <c r="A399" s="56" t="s">
        <v>22</v>
      </c>
      <c r="B399" s="54" t="s">
        <v>12</v>
      </c>
      <c r="C399" s="63">
        <f t="shared" si="146"/>
        <v>1004875</v>
      </c>
      <c r="D399" s="63">
        <f t="shared" si="146"/>
        <v>115591</v>
      </c>
      <c r="E399" s="63">
        <f t="shared" si="146"/>
        <v>0</v>
      </c>
      <c r="F399" s="63">
        <f t="shared" si="146"/>
        <v>0</v>
      </c>
      <c r="G399" s="55">
        <f t="shared" si="151"/>
        <v>115591</v>
      </c>
      <c r="H399" s="63">
        <f t="shared" si="147"/>
        <v>751766</v>
      </c>
      <c r="I399" s="63">
        <f t="shared" si="147"/>
        <v>0</v>
      </c>
      <c r="J399" s="63">
        <f t="shared" si="147"/>
        <v>0</v>
      </c>
      <c r="K399" s="63">
        <f t="shared" si="152"/>
        <v>751766</v>
      </c>
      <c r="L399" s="63">
        <f t="shared" si="148"/>
        <v>137518</v>
      </c>
      <c r="M399" s="63">
        <f t="shared" si="148"/>
        <v>0</v>
      </c>
      <c r="N399" s="63">
        <f t="shared" si="148"/>
        <v>0</v>
      </c>
      <c r="O399" s="63">
        <f t="shared" si="153"/>
        <v>137518</v>
      </c>
      <c r="R399" s="62">
        <f t="shared" si="154"/>
        <v>1004875</v>
      </c>
      <c r="S399" s="62">
        <f t="shared" si="155"/>
        <v>0</v>
      </c>
      <c r="V399" s="62">
        <f t="shared" si="149"/>
        <v>1004875</v>
      </c>
      <c r="W399" s="62">
        <f t="shared" si="149"/>
        <v>0</v>
      </c>
      <c r="X399" s="62">
        <f t="shared" si="149"/>
        <v>0</v>
      </c>
      <c r="Y399" s="62">
        <f t="shared" si="156"/>
        <v>1004875</v>
      </c>
      <c r="Z399" s="62">
        <f t="shared" si="150"/>
        <v>0</v>
      </c>
      <c r="AC399" s="98"/>
      <c r="AD399" s="98"/>
      <c r="AE399" s="98"/>
      <c r="AF399" s="98"/>
      <c r="AG399" s="96"/>
    </row>
    <row r="400" spans="1:34" ht="39.75" customHeight="1" x14ac:dyDescent="0.25">
      <c r="A400" s="56" t="s">
        <v>23</v>
      </c>
      <c r="B400" s="54" t="s">
        <v>11</v>
      </c>
      <c r="C400" s="63">
        <f t="shared" si="146"/>
        <v>1101287</v>
      </c>
      <c r="D400" s="63">
        <f t="shared" si="146"/>
        <v>43075</v>
      </c>
      <c r="E400" s="63">
        <f t="shared" si="146"/>
        <v>68199</v>
      </c>
      <c r="F400" s="63">
        <f t="shared" si="146"/>
        <v>29523</v>
      </c>
      <c r="G400" s="55">
        <f t="shared" si="151"/>
        <v>140797</v>
      </c>
      <c r="H400" s="63">
        <f t="shared" si="147"/>
        <v>228506</v>
      </c>
      <c r="I400" s="63">
        <f t="shared" si="147"/>
        <v>361783</v>
      </c>
      <c r="J400" s="63">
        <f t="shared" si="147"/>
        <v>156615</v>
      </c>
      <c r="K400" s="63">
        <f t="shared" si="152"/>
        <v>746904</v>
      </c>
      <c r="L400" s="63">
        <f t="shared" si="148"/>
        <v>65342</v>
      </c>
      <c r="M400" s="63">
        <f t="shared" si="148"/>
        <v>103456</v>
      </c>
      <c r="N400" s="63">
        <f t="shared" si="148"/>
        <v>44788</v>
      </c>
      <c r="O400" s="63">
        <f t="shared" si="153"/>
        <v>213586</v>
      </c>
      <c r="R400" s="62">
        <f t="shared" si="154"/>
        <v>1101287</v>
      </c>
      <c r="S400" s="62">
        <f t="shared" si="155"/>
        <v>0</v>
      </c>
      <c r="V400" s="102">
        <f t="shared" si="149"/>
        <v>336923</v>
      </c>
      <c r="W400" s="102">
        <f t="shared" si="149"/>
        <v>533438</v>
      </c>
      <c r="X400" s="102">
        <f t="shared" si="149"/>
        <v>230926</v>
      </c>
      <c r="Y400" s="102">
        <f t="shared" si="156"/>
        <v>1101287</v>
      </c>
      <c r="Z400" s="102">
        <f t="shared" si="150"/>
        <v>0</v>
      </c>
      <c r="AC400" s="98"/>
      <c r="AD400" s="98"/>
      <c r="AE400" s="98"/>
      <c r="AF400" s="98"/>
      <c r="AG400" s="96"/>
    </row>
    <row r="401" spans="1:33" ht="28.5" customHeight="1" x14ac:dyDescent="0.25">
      <c r="A401" s="56" t="s">
        <v>20</v>
      </c>
      <c r="B401" s="54" t="s">
        <v>34</v>
      </c>
      <c r="C401" s="63">
        <f t="shared" si="146"/>
        <v>1483843</v>
      </c>
      <c r="D401" s="63">
        <f t="shared" si="146"/>
        <v>277746</v>
      </c>
      <c r="E401" s="63">
        <f t="shared" si="146"/>
        <v>0</v>
      </c>
      <c r="F401" s="63">
        <f t="shared" si="146"/>
        <v>0</v>
      </c>
      <c r="G401" s="55">
        <f t="shared" si="151"/>
        <v>277746</v>
      </c>
      <c r="H401" s="63">
        <f t="shared" si="147"/>
        <v>906584</v>
      </c>
      <c r="I401" s="63">
        <f t="shared" si="147"/>
        <v>0</v>
      </c>
      <c r="J401" s="63">
        <f t="shared" si="147"/>
        <v>0</v>
      </c>
      <c r="K401" s="63">
        <f t="shared" si="152"/>
        <v>906584</v>
      </c>
      <c r="L401" s="63">
        <f t="shared" si="148"/>
        <v>299513</v>
      </c>
      <c r="M401" s="63">
        <f t="shared" si="148"/>
        <v>0</v>
      </c>
      <c r="N401" s="63">
        <f t="shared" si="148"/>
        <v>0</v>
      </c>
      <c r="O401" s="63">
        <f t="shared" si="153"/>
        <v>299513</v>
      </c>
      <c r="R401" s="62">
        <f t="shared" si="154"/>
        <v>1483843</v>
      </c>
      <c r="S401" s="62">
        <f t="shared" si="155"/>
        <v>0</v>
      </c>
      <c r="V401" s="62">
        <f t="shared" si="149"/>
        <v>1483843</v>
      </c>
      <c r="W401" s="62">
        <f t="shared" si="149"/>
        <v>0</v>
      </c>
      <c r="X401" s="62">
        <f t="shared" si="149"/>
        <v>0</v>
      </c>
      <c r="Y401" s="62">
        <f t="shared" si="156"/>
        <v>1483843</v>
      </c>
      <c r="Z401" s="62">
        <f t="shared" si="150"/>
        <v>0</v>
      </c>
      <c r="AC401" s="98"/>
      <c r="AD401" s="98"/>
      <c r="AE401" s="98"/>
      <c r="AF401" s="98"/>
      <c r="AG401" s="96"/>
    </row>
    <row r="402" spans="1:33" ht="34.5" customHeight="1" x14ac:dyDescent="0.25">
      <c r="A402" s="56" t="s">
        <v>22</v>
      </c>
      <c r="B402" s="54" t="s">
        <v>10</v>
      </c>
      <c r="C402" s="63">
        <f t="shared" si="146"/>
        <v>5766258</v>
      </c>
      <c r="D402" s="63">
        <f t="shared" si="146"/>
        <v>125246</v>
      </c>
      <c r="E402" s="63">
        <f t="shared" si="146"/>
        <v>163826</v>
      </c>
      <c r="F402" s="63">
        <f t="shared" si="146"/>
        <v>7715</v>
      </c>
      <c r="G402" s="55">
        <f t="shared" si="151"/>
        <v>296787</v>
      </c>
      <c r="H402" s="63">
        <f t="shared" si="147"/>
        <v>1947988</v>
      </c>
      <c r="I402" s="63">
        <f t="shared" si="147"/>
        <v>2548004</v>
      </c>
      <c r="J402" s="63">
        <f t="shared" si="147"/>
        <v>120014</v>
      </c>
      <c r="K402" s="63">
        <f t="shared" si="152"/>
        <v>4616006</v>
      </c>
      <c r="L402" s="63">
        <f t="shared" si="148"/>
        <v>360170</v>
      </c>
      <c r="M402" s="63">
        <f t="shared" si="148"/>
        <v>471107</v>
      </c>
      <c r="N402" s="63">
        <f t="shared" si="148"/>
        <v>22188</v>
      </c>
      <c r="O402" s="63">
        <f t="shared" si="153"/>
        <v>853465</v>
      </c>
      <c r="R402" s="62">
        <f t="shared" si="154"/>
        <v>5766258</v>
      </c>
      <c r="S402" s="62">
        <f t="shared" si="155"/>
        <v>0</v>
      </c>
      <c r="V402" s="102">
        <f t="shared" si="149"/>
        <v>2433404</v>
      </c>
      <c r="W402" s="102">
        <f t="shared" si="149"/>
        <v>3182937</v>
      </c>
      <c r="X402" s="102">
        <f t="shared" si="149"/>
        <v>149917</v>
      </c>
      <c r="Y402" s="102">
        <f t="shared" si="156"/>
        <v>5766258</v>
      </c>
      <c r="Z402" s="102">
        <f t="shared" si="150"/>
        <v>0</v>
      </c>
      <c r="AC402" s="98"/>
      <c r="AD402" s="98"/>
      <c r="AE402" s="98"/>
      <c r="AF402" s="98"/>
      <c r="AG402" s="96"/>
    </row>
    <row r="403" spans="1:33" ht="25.5" customHeight="1" x14ac:dyDescent="0.25">
      <c r="A403" s="56" t="s">
        <v>21</v>
      </c>
      <c r="B403" s="54" t="s">
        <v>9</v>
      </c>
      <c r="C403" s="63">
        <f t="shared" si="146"/>
        <v>5756133</v>
      </c>
      <c r="D403" s="63">
        <f t="shared" si="146"/>
        <v>476641</v>
      </c>
      <c r="E403" s="63">
        <f t="shared" si="146"/>
        <v>891701</v>
      </c>
      <c r="F403" s="63">
        <f t="shared" si="146"/>
        <v>18083</v>
      </c>
      <c r="G403" s="55">
        <f t="shared" si="151"/>
        <v>1386425</v>
      </c>
      <c r="H403" s="63">
        <f t="shared" si="147"/>
        <v>1489335</v>
      </c>
      <c r="I403" s="63">
        <f t="shared" si="147"/>
        <v>2786232</v>
      </c>
      <c r="J403" s="63">
        <f t="shared" si="147"/>
        <v>56497</v>
      </c>
      <c r="K403" s="63">
        <f t="shared" si="152"/>
        <v>4332064</v>
      </c>
      <c r="L403" s="63">
        <f t="shared" si="148"/>
        <v>12942</v>
      </c>
      <c r="M403" s="63">
        <f t="shared" si="148"/>
        <v>24212</v>
      </c>
      <c r="N403" s="63">
        <f t="shared" si="148"/>
        <v>490</v>
      </c>
      <c r="O403" s="63">
        <f t="shared" si="153"/>
        <v>37644</v>
      </c>
      <c r="R403" s="62">
        <f t="shared" si="154"/>
        <v>5756133</v>
      </c>
      <c r="S403" s="62">
        <f t="shared" si="155"/>
        <v>0</v>
      </c>
      <c r="V403" s="102">
        <f t="shared" si="149"/>
        <v>1978918</v>
      </c>
      <c r="W403" s="102">
        <f t="shared" si="149"/>
        <v>3702145</v>
      </c>
      <c r="X403" s="102">
        <f t="shared" si="149"/>
        <v>75070</v>
      </c>
      <c r="Y403" s="102">
        <f t="shared" si="156"/>
        <v>5756133</v>
      </c>
      <c r="Z403" s="102">
        <f t="shared" si="150"/>
        <v>0</v>
      </c>
      <c r="AC403" s="98"/>
      <c r="AD403" s="98"/>
      <c r="AE403" s="98"/>
      <c r="AF403" s="98"/>
      <c r="AG403" s="96"/>
    </row>
    <row r="404" spans="1:33" ht="25.5" customHeight="1" x14ac:dyDescent="0.25">
      <c r="A404" s="56" t="s">
        <v>25</v>
      </c>
      <c r="B404" s="54" t="s">
        <v>8</v>
      </c>
      <c r="C404" s="63">
        <f t="shared" si="146"/>
        <v>6783289</v>
      </c>
      <c r="D404" s="63">
        <f t="shared" si="146"/>
        <v>46153</v>
      </c>
      <c r="E404" s="63">
        <f t="shared" si="146"/>
        <v>221787</v>
      </c>
      <c r="F404" s="63">
        <f t="shared" si="146"/>
        <v>0</v>
      </c>
      <c r="G404" s="55">
        <f t="shared" si="151"/>
        <v>267940</v>
      </c>
      <c r="H404" s="63">
        <f t="shared" si="147"/>
        <v>749039</v>
      </c>
      <c r="I404" s="63">
        <f t="shared" si="147"/>
        <v>3599592</v>
      </c>
      <c r="J404" s="63">
        <f t="shared" si="147"/>
        <v>0</v>
      </c>
      <c r="K404" s="63">
        <f t="shared" si="152"/>
        <v>4348631</v>
      </c>
      <c r="L404" s="63">
        <f t="shared" si="148"/>
        <v>373211</v>
      </c>
      <c r="M404" s="63">
        <f t="shared" si="148"/>
        <v>1793507</v>
      </c>
      <c r="N404" s="63">
        <f t="shared" si="148"/>
        <v>0</v>
      </c>
      <c r="O404" s="63">
        <f t="shared" si="153"/>
        <v>2166718</v>
      </c>
      <c r="R404" s="62">
        <f t="shared" si="154"/>
        <v>6783289</v>
      </c>
      <c r="S404" s="62">
        <f t="shared" si="155"/>
        <v>0</v>
      </c>
      <c r="V404" s="62">
        <f t="shared" si="149"/>
        <v>1168403</v>
      </c>
      <c r="W404" s="62">
        <f t="shared" si="149"/>
        <v>5614886</v>
      </c>
      <c r="X404" s="62">
        <f t="shared" si="149"/>
        <v>0</v>
      </c>
      <c r="Y404" s="62">
        <f t="shared" si="156"/>
        <v>6783289</v>
      </c>
      <c r="Z404" s="62">
        <f t="shared" si="150"/>
        <v>0</v>
      </c>
      <c r="AC404" s="98"/>
      <c r="AD404" s="98"/>
      <c r="AE404" s="98"/>
      <c r="AF404" s="98"/>
      <c r="AG404" s="96"/>
    </row>
    <row r="405" spans="1:33" ht="25.5" customHeight="1" x14ac:dyDescent="0.25">
      <c r="A405" s="56" t="s">
        <v>26</v>
      </c>
      <c r="B405" s="54" t="s">
        <v>7</v>
      </c>
      <c r="C405" s="63">
        <f t="shared" si="146"/>
        <v>4285733</v>
      </c>
      <c r="D405" s="63">
        <f t="shared" si="146"/>
        <v>9940</v>
      </c>
      <c r="E405" s="63">
        <f t="shared" si="146"/>
        <v>68361</v>
      </c>
      <c r="F405" s="63">
        <f t="shared" si="146"/>
        <v>0</v>
      </c>
      <c r="G405" s="55">
        <f t="shared" si="151"/>
        <v>78301</v>
      </c>
      <c r="H405" s="63">
        <f t="shared" si="147"/>
        <v>485582</v>
      </c>
      <c r="I405" s="63">
        <f t="shared" si="147"/>
        <v>3339777</v>
      </c>
      <c r="J405" s="63">
        <f t="shared" si="147"/>
        <v>0</v>
      </c>
      <c r="K405" s="63">
        <f t="shared" si="152"/>
        <v>3825359</v>
      </c>
      <c r="L405" s="63">
        <f t="shared" si="148"/>
        <v>48500</v>
      </c>
      <c r="M405" s="63">
        <f t="shared" si="148"/>
        <v>333573</v>
      </c>
      <c r="N405" s="63">
        <f t="shared" si="148"/>
        <v>0</v>
      </c>
      <c r="O405" s="63">
        <f t="shared" si="153"/>
        <v>382073</v>
      </c>
      <c r="R405" s="62">
        <f t="shared" si="154"/>
        <v>4285733</v>
      </c>
      <c r="S405" s="62">
        <f t="shared" si="155"/>
        <v>0</v>
      </c>
      <c r="V405" s="62">
        <f t="shared" si="149"/>
        <v>544022</v>
      </c>
      <c r="W405" s="62">
        <f t="shared" si="149"/>
        <v>3741711</v>
      </c>
      <c r="X405" s="62">
        <f t="shared" si="149"/>
        <v>0</v>
      </c>
      <c r="Y405" s="62">
        <f t="shared" si="156"/>
        <v>4285733</v>
      </c>
      <c r="Z405" s="62">
        <f t="shared" si="150"/>
        <v>0</v>
      </c>
      <c r="AC405" s="98"/>
      <c r="AD405" s="98"/>
      <c r="AE405" s="98"/>
      <c r="AF405" s="98"/>
      <c r="AG405" s="96"/>
    </row>
    <row r="406" spans="1:33" ht="25.5" customHeight="1" x14ac:dyDescent="0.25">
      <c r="A406" s="56" t="s">
        <v>20</v>
      </c>
      <c r="B406" s="54" t="s">
        <v>6</v>
      </c>
      <c r="C406" s="63">
        <f t="shared" si="146"/>
        <v>6682453</v>
      </c>
      <c r="D406" s="63">
        <f t="shared" si="146"/>
        <v>25268</v>
      </c>
      <c r="E406" s="63">
        <f t="shared" si="146"/>
        <v>20670</v>
      </c>
      <c r="F406" s="63">
        <f t="shared" si="146"/>
        <v>638</v>
      </c>
      <c r="G406" s="55">
        <f t="shared" si="151"/>
        <v>46576</v>
      </c>
      <c r="H406" s="63">
        <f t="shared" si="147"/>
        <v>3594512</v>
      </c>
      <c r="I406" s="63">
        <f t="shared" si="147"/>
        <v>2940548</v>
      </c>
      <c r="J406" s="63">
        <f t="shared" si="147"/>
        <v>90792</v>
      </c>
      <c r="K406" s="63">
        <f t="shared" si="152"/>
        <v>6625852</v>
      </c>
      <c r="L406" s="63">
        <f t="shared" si="148"/>
        <v>5438</v>
      </c>
      <c r="M406" s="63">
        <f t="shared" si="148"/>
        <v>4450</v>
      </c>
      <c r="N406" s="63">
        <f t="shared" si="148"/>
        <v>137</v>
      </c>
      <c r="O406" s="63">
        <f t="shared" si="153"/>
        <v>10025</v>
      </c>
      <c r="R406" s="62">
        <f t="shared" si="154"/>
        <v>6682453</v>
      </c>
      <c r="S406" s="62">
        <f t="shared" si="155"/>
        <v>0</v>
      </c>
      <c r="V406" s="102">
        <f t="shared" si="149"/>
        <v>3625218</v>
      </c>
      <c r="W406" s="102">
        <f t="shared" si="149"/>
        <v>2965668</v>
      </c>
      <c r="X406" s="102">
        <f t="shared" si="149"/>
        <v>91567</v>
      </c>
      <c r="Y406" s="102">
        <f t="shared" si="156"/>
        <v>6682453</v>
      </c>
      <c r="Z406" s="102">
        <f t="shared" si="150"/>
        <v>0</v>
      </c>
      <c r="AC406" s="98"/>
      <c r="AD406" s="98"/>
      <c r="AE406" s="98"/>
      <c r="AF406" s="98"/>
      <c r="AG406" s="96"/>
    </row>
    <row r="407" spans="1:33" ht="25.5" customHeight="1" x14ac:dyDescent="0.25">
      <c r="A407" s="56" t="s">
        <v>19</v>
      </c>
      <c r="B407" s="54" t="s">
        <v>5</v>
      </c>
      <c r="C407" s="63">
        <f t="shared" si="146"/>
        <v>7913290</v>
      </c>
      <c r="D407" s="63">
        <f t="shared" si="146"/>
        <v>277397</v>
      </c>
      <c r="E407" s="63">
        <f t="shared" si="146"/>
        <v>773109</v>
      </c>
      <c r="F407" s="63">
        <f t="shared" si="146"/>
        <v>44295</v>
      </c>
      <c r="G407" s="55">
        <f t="shared" si="151"/>
        <v>1094801</v>
      </c>
      <c r="H407" s="63">
        <f t="shared" si="147"/>
        <v>1710821</v>
      </c>
      <c r="I407" s="63">
        <f t="shared" si="147"/>
        <v>4768067</v>
      </c>
      <c r="J407" s="63">
        <f t="shared" si="147"/>
        <v>273206</v>
      </c>
      <c r="K407" s="63">
        <f t="shared" si="152"/>
        <v>6752094</v>
      </c>
      <c r="L407" s="63">
        <f t="shared" si="148"/>
        <v>16821</v>
      </c>
      <c r="M407" s="63">
        <f t="shared" si="148"/>
        <v>46883</v>
      </c>
      <c r="N407" s="63">
        <f t="shared" si="148"/>
        <v>2691</v>
      </c>
      <c r="O407" s="63">
        <f t="shared" si="153"/>
        <v>66395</v>
      </c>
      <c r="R407" s="62">
        <f t="shared" si="154"/>
        <v>7913290</v>
      </c>
      <c r="S407" s="62">
        <f t="shared" si="155"/>
        <v>0</v>
      </c>
      <c r="V407" s="102">
        <f t="shared" si="149"/>
        <v>2005039</v>
      </c>
      <c r="W407" s="102">
        <f t="shared" si="149"/>
        <v>5588059</v>
      </c>
      <c r="X407" s="102">
        <f t="shared" si="149"/>
        <v>320192</v>
      </c>
      <c r="Y407" s="102">
        <f t="shared" si="156"/>
        <v>7913290</v>
      </c>
      <c r="Z407" s="102">
        <f t="shared" si="150"/>
        <v>0</v>
      </c>
      <c r="AC407" s="98"/>
      <c r="AD407" s="98"/>
      <c r="AE407" s="98"/>
      <c r="AF407" s="98"/>
      <c r="AG407" s="96"/>
    </row>
    <row r="408" spans="1:33" ht="25.5" customHeight="1" x14ac:dyDescent="0.25">
      <c r="A408" s="56" t="s">
        <v>18</v>
      </c>
      <c r="B408" s="54" t="s">
        <v>4</v>
      </c>
      <c r="C408" s="63">
        <f t="shared" si="146"/>
        <v>6784214</v>
      </c>
      <c r="D408" s="63">
        <f t="shared" si="146"/>
        <v>131556</v>
      </c>
      <c r="E408" s="63">
        <f t="shared" si="146"/>
        <v>221691</v>
      </c>
      <c r="F408" s="63">
        <f t="shared" si="146"/>
        <v>9168</v>
      </c>
      <c r="G408" s="55">
        <f t="shared" si="151"/>
        <v>362415</v>
      </c>
      <c r="H408" s="63">
        <f t="shared" si="147"/>
        <v>2254080</v>
      </c>
      <c r="I408" s="63">
        <f t="shared" si="147"/>
        <v>3798506</v>
      </c>
      <c r="J408" s="63">
        <f t="shared" si="147"/>
        <v>157072</v>
      </c>
      <c r="K408" s="63">
        <f t="shared" si="152"/>
        <v>6209658</v>
      </c>
      <c r="L408" s="63">
        <f t="shared" si="148"/>
        <v>77005</v>
      </c>
      <c r="M408" s="63">
        <f t="shared" si="148"/>
        <v>129770</v>
      </c>
      <c r="N408" s="63">
        <f t="shared" si="148"/>
        <v>5366</v>
      </c>
      <c r="O408" s="63">
        <f t="shared" si="153"/>
        <v>212141</v>
      </c>
      <c r="R408" s="62">
        <f t="shared" si="154"/>
        <v>6784214</v>
      </c>
      <c r="S408" s="62">
        <f t="shared" si="155"/>
        <v>0</v>
      </c>
      <c r="V408" s="102">
        <f t="shared" si="149"/>
        <v>2462641</v>
      </c>
      <c r="W408" s="102">
        <f t="shared" si="149"/>
        <v>4149967</v>
      </c>
      <c r="X408" s="102">
        <f t="shared" si="149"/>
        <v>171606</v>
      </c>
      <c r="Y408" s="102">
        <f t="shared" si="156"/>
        <v>6784214</v>
      </c>
      <c r="Z408" s="102">
        <f t="shared" si="150"/>
        <v>0</v>
      </c>
      <c r="AC408" s="98"/>
      <c r="AD408" s="98"/>
      <c r="AE408" s="98"/>
      <c r="AF408" s="98"/>
      <c r="AG408" s="96"/>
    </row>
    <row r="409" spans="1:33" ht="25.5" customHeight="1" x14ac:dyDescent="0.25">
      <c r="A409" s="56" t="s">
        <v>25</v>
      </c>
      <c r="B409" s="54" t="s">
        <v>3</v>
      </c>
      <c r="C409" s="63">
        <f t="shared" si="146"/>
        <v>5661058</v>
      </c>
      <c r="D409" s="63">
        <f t="shared" si="146"/>
        <v>271339</v>
      </c>
      <c r="E409" s="63">
        <f t="shared" si="146"/>
        <v>133580</v>
      </c>
      <c r="F409" s="63">
        <f t="shared" si="146"/>
        <v>12528</v>
      </c>
      <c r="G409" s="55">
        <f t="shared" si="151"/>
        <v>417447</v>
      </c>
      <c r="H409" s="63">
        <f t="shared" si="147"/>
        <v>3031687</v>
      </c>
      <c r="I409" s="63">
        <f t="shared" si="147"/>
        <v>1492504</v>
      </c>
      <c r="J409" s="63">
        <f t="shared" si="147"/>
        <v>139955</v>
      </c>
      <c r="K409" s="63">
        <f t="shared" si="152"/>
        <v>4664146</v>
      </c>
      <c r="L409" s="63">
        <f t="shared" si="148"/>
        <v>376650</v>
      </c>
      <c r="M409" s="63">
        <f t="shared" si="148"/>
        <v>185427</v>
      </c>
      <c r="N409" s="63">
        <f t="shared" si="148"/>
        <v>17388</v>
      </c>
      <c r="O409" s="63">
        <f t="shared" si="153"/>
        <v>579465</v>
      </c>
      <c r="R409" s="62">
        <f t="shared" si="154"/>
        <v>5661058</v>
      </c>
      <c r="S409" s="62">
        <f t="shared" si="155"/>
        <v>0</v>
      </c>
      <c r="V409" s="102">
        <f t="shared" si="149"/>
        <v>3679676</v>
      </c>
      <c r="W409" s="102">
        <f t="shared" si="149"/>
        <v>1811511</v>
      </c>
      <c r="X409" s="102">
        <f t="shared" si="149"/>
        <v>169871</v>
      </c>
      <c r="Y409" s="102">
        <f t="shared" si="156"/>
        <v>5661058</v>
      </c>
      <c r="Z409" s="102">
        <f t="shared" si="150"/>
        <v>0</v>
      </c>
      <c r="AC409" s="98"/>
      <c r="AD409" s="98"/>
      <c r="AE409" s="98"/>
      <c r="AF409" s="98"/>
      <c r="AG409" s="96"/>
    </row>
    <row r="410" spans="1:33" ht="54" customHeight="1" x14ac:dyDescent="0.25">
      <c r="A410" s="56" t="s">
        <v>30</v>
      </c>
      <c r="B410" s="54" t="s">
        <v>2</v>
      </c>
      <c r="C410" s="63">
        <f t="shared" ref="C410:F413" si="157">C128+C224+C321+C444</f>
        <v>4846350</v>
      </c>
      <c r="D410" s="55">
        <f t="shared" si="157"/>
        <v>155149</v>
      </c>
      <c r="E410" s="55">
        <f t="shared" si="157"/>
        <v>601034</v>
      </c>
      <c r="F410" s="55">
        <f t="shared" si="157"/>
        <v>6</v>
      </c>
      <c r="G410" s="55">
        <f t="shared" si="151"/>
        <v>756189</v>
      </c>
      <c r="H410" s="63">
        <f t="shared" ref="H410:J413" si="158">H128+H224+H321+H444</f>
        <v>654200</v>
      </c>
      <c r="I410" s="63">
        <f t="shared" si="158"/>
        <v>2534327</v>
      </c>
      <c r="J410" s="63">
        <f t="shared" si="158"/>
        <v>10</v>
      </c>
      <c r="K410" s="63">
        <f t="shared" si="152"/>
        <v>3188537</v>
      </c>
      <c r="L410" s="63">
        <f t="shared" ref="L410:N413" si="159">L128+L224+L321+L444</f>
        <v>185008</v>
      </c>
      <c r="M410" s="63">
        <f t="shared" si="159"/>
        <v>716680</v>
      </c>
      <c r="N410" s="63">
        <f t="shared" si="159"/>
        <v>14</v>
      </c>
      <c r="O410" s="63">
        <f t="shared" si="153"/>
        <v>901702</v>
      </c>
      <c r="R410" s="62">
        <f t="shared" si="154"/>
        <v>4846428</v>
      </c>
      <c r="S410" s="62">
        <f t="shared" si="155"/>
        <v>78</v>
      </c>
      <c r="V410" s="62">
        <f t="shared" si="149"/>
        <v>408520</v>
      </c>
      <c r="W410" s="62">
        <f t="shared" si="149"/>
        <v>0</v>
      </c>
      <c r="X410" s="62">
        <f t="shared" si="149"/>
        <v>0</v>
      </c>
      <c r="Y410" s="62">
        <f t="shared" si="156"/>
        <v>408520</v>
      </c>
      <c r="Z410" s="62">
        <f t="shared" si="150"/>
        <v>-4437830</v>
      </c>
      <c r="AC410" s="98"/>
      <c r="AD410" s="98"/>
      <c r="AE410" s="98"/>
      <c r="AF410" s="98"/>
    </row>
    <row r="411" spans="1:33" ht="39.75" customHeight="1" x14ac:dyDescent="0.25">
      <c r="A411" s="56" t="s">
        <v>31</v>
      </c>
      <c r="B411" s="54" t="s">
        <v>1</v>
      </c>
      <c r="C411" s="63">
        <f t="shared" si="157"/>
        <v>4986677</v>
      </c>
      <c r="D411" s="55">
        <f t="shared" si="157"/>
        <v>189769</v>
      </c>
      <c r="E411" s="55">
        <f t="shared" si="157"/>
        <v>614514</v>
      </c>
      <c r="F411" s="55">
        <f t="shared" si="157"/>
        <v>1712</v>
      </c>
      <c r="G411" s="55">
        <f t="shared" si="151"/>
        <v>805995</v>
      </c>
      <c r="H411" s="63">
        <f t="shared" si="158"/>
        <v>726536</v>
      </c>
      <c r="I411" s="63">
        <f t="shared" si="158"/>
        <v>2522568</v>
      </c>
      <c r="J411" s="63">
        <f t="shared" si="158"/>
        <v>5033</v>
      </c>
      <c r="K411" s="63">
        <f t="shared" si="152"/>
        <v>3254137</v>
      </c>
      <c r="L411" s="63">
        <f t="shared" si="159"/>
        <v>208678</v>
      </c>
      <c r="M411" s="63">
        <f t="shared" si="159"/>
        <v>716348</v>
      </c>
      <c r="N411" s="63">
        <f t="shared" si="159"/>
        <v>1519</v>
      </c>
      <c r="O411" s="63">
        <f t="shared" si="153"/>
        <v>926545</v>
      </c>
      <c r="R411" s="62">
        <f t="shared" si="154"/>
        <v>4986677</v>
      </c>
      <c r="S411" s="62">
        <f t="shared" si="155"/>
        <v>0</v>
      </c>
      <c r="V411" s="62">
        <f t="shared" si="149"/>
        <v>303929</v>
      </c>
      <c r="W411" s="62">
        <f t="shared" si="149"/>
        <v>0</v>
      </c>
      <c r="X411" s="62">
        <f t="shared" si="149"/>
        <v>0</v>
      </c>
      <c r="Y411" s="62">
        <f t="shared" si="156"/>
        <v>303929</v>
      </c>
      <c r="Z411" s="62">
        <f t="shared" si="150"/>
        <v>-4682748</v>
      </c>
      <c r="AC411" s="98"/>
      <c r="AD411" s="98"/>
      <c r="AE411" s="98"/>
      <c r="AF411" s="98"/>
    </row>
    <row r="412" spans="1:33" ht="33" customHeight="1" x14ac:dyDescent="0.25">
      <c r="A412" s="56" t="s">
        <v>32</v>
      </c>
      <c r="B412" s="54" t="s">
        <v>73</v>
      </c>
      <c r="C412" s="63">
        <f t="shared" si="157"/>
        <v>1575463</v>
      </c>
      <c r="D412" s="55">
        <f t="shared" si="157"/>
        <v>35106</v>
      </c>
      <c r="E412" s="55">
        <f t="shared" si="157"/>
        <v>98977</v>
      </c>
      <c r="F412" s="55">
        <f t="shared" si="157"/>
        <v>854</v>
      </c>
      <c r="G412" s="55">
        <f>D412+E412+F412</f>
        <v>134937</v>
      </c>
      <c r="H412" s="63">
        <f t="shared" si="158"/>
        <v>103171</v>
      </c>
      <c r="I412" s="63">
        <f t="shared" si="158"/>
        <v>1147859</v>
      </c>
      <c r="J412" s="63">
        <f t="shared" si="158"/>
        <v>2511</v>
      </c>
      <c r="K412" s="63">
        <f t="shared" si="152"/>
        <v>1253541</v>
      </c>
      <c r="L412" s="63">
        <f t="shared" si="159"/>
        <v>31138</v>
      </c>
      <c r="M412" s="63">
        <f t="shared" si="159"/>
        <v>155089</v>
      </c>
      <c r="N412" s="63">
        <f t="shared" si="159"/>
        <v>758</v>
      </c>
      <c r="O412" s="63">
        <f t="shared" si="153"/>
        <v>186985</v>
      </c>
      <c r="R412" s="62">
        <f t="shared" si="154"/>
        <v>1575463</v>
      </c>
      <c r="S412" s="62">
        <f t="shared" si="155"/>
        <v>0</v>
      </c>
      <c r="V412" s="62">
        <f t="shared" ref="V412:X414" si="160">V216+V240+V265+V314+V338+V363</f>
        <v>270503</v>
      </c>
      <c r="W412" s="62">
        <f t="shared" si="160"/>
        <v>0</v>
      </c>
      <c r="X412" s="62">
        <f t="shared" si="160"/>
        <v>0</v>
      </c>
      <c r="Y412" s="62">
        <f t="shared" si="156"/>
        <v>270503</v>
      </c>
      <c r="Z412" s="62">
        <f t="shared" si="150"/>
        <v>-1304960</v>
      </c>
      <c r="AC412" s="98"/>
      <c r="AD412" s="98"/>
      <c r="AE412" s="98"/>
      <c r="AF412" s="98"/>
    </row>
    <row r="413" spans="1:33" ht="33" customHeight="1" x14ac:dyDescent="0.25">
      <c r="A413" s="56" t="s">
        <v>90</v>
      </c>
      <c r="B413" s="70" t="s">
        <v>91</v>
      </c>
      <c r="C413" s="63">
        <f t="shared" si="157"/>
        <v>2643045</v>
      </c>
      <c r="D413" s="55">
        <f t="shared" si="157"/>
        <v>27674</v>
      </c>
      <c r="E413" s="55">
        <f t="shared" si="157"/>
        <v>136172</v>
      </c>
      <c r="F413" s="55">
        <f t="shared" si="157"/>
        <v>0</v>
      </c>
      <c r="G413" s="55">
        <f>D413+E413+F413</f>
        <v>163846</v>
      </c>
      <c r="H413" s="63">
        <f t="shared" si="158"/>
        <v>179990</v>
      </c>
      <c r="I413" s="63">
        <f t="shared" si="158"/>
        <v>2018423</v>
      </c>
      <c r="J413" s="63">
        <f t="shared" si="158"/>
        <v>0</v>
      </c>
      <c r="K413" s="63">
        <f t="shared" si="152"/>
        <v>2198413</v>
      </c>
      <c r="L413" s="63">
        <f t="shared" si="159"/>
        <v>32925</v>
      </c>
      <c r="M413" s="63">
        <f t="shared" si="159"/>
        <v>247861</v>
      </c>
      <c r="N413" s="63">
        <f t="shared" si="159"/>
        <v>0</v>
      </c>
      <c r="O413" s="63">
        <f t="shared" si="153"/>
        <v>280786</v>
      </c>
      <c r="R413" s="62">
        <f t="shared" si="154"/>
        <v>2643045</v>
      </c>
      <c r="S413" s="62">
        <f>R413-C413</f>
        <v>0</v>
      </c>
      <c r="V413" s="62">
        <f t="shared" si="160"/>
        <v>0</v>
      </c>
      <c r="W413" s="62">
        <f t="shared" si="160"/>
        <v>369972</v>
      </c>
      <c r="X413" s="62">
        <f t="shared" si="160"/>
        <v>0</v>
      </c>
      <c r="Y413" s="62">
        <f t="shared" si="156"/>
        <v>369972</v>
      </c>
      <c r="Z413" s="62">
        <f t="shared" si="150"/>
        <v>-2273073</v>
      </c>
      <c r="AC413" s="98"/>
      <c r="AD413" s="98"/>
      <c r="AE413" s="98"/>
      <c r="AF413" s="98"/>
    </row>
    <row r="414" spans="1:33" ht="25.5" customHeight="1" x14ac:dyDescent="0.25">
      <c r="A414" s="57"/>
      <c r="B414" s="57" t="s">
        <v>0</v>
      </c>
      <c r="C414" s="58">
        <f>SUM(C396:C413)</f>
        <v>102976509</v>
      </c>
      <c r="D414" s="58">
        <f t="shared" ref="D414:O414" si="161">SUM(D396:D413)</f>
        <v>3021702</v>
      </c>
      <c r="E414" s="58">
        <f t="shared" si="161"/>
        <v>7998447</v>
      </c>
      <c r="F414" s="58">
        <f t="shared" si="161"/>
        <v>129651</v>
      </c>
      <c r="G414" s="58">
        <f t="shared" si="161"/>
        <v>11149800</v>
      </c>
      <c r="H414" s="58">
        <f t="shared" si="161"/>
        <v>22005487</v>
      </c>
      <c r="I414" s="58">
        <f t="shared" si="161"/>
        <v>55624026</v>
      </c>
      <c r="J414" s="58">
        <f t="shared" si="161"/>
        <v>1016776</v>
      </c>
      <c r="K414" s="58">
        <f t="shared" si="161"/>
        <v>78646289</v>
      </c>
      <c r="L414" s="58">
        <f t="shared" si="161"/>
        <v>3143964</v>
      </c>
      <c r="M414" s="58">
        <f t="shared" si="161"/>
        <v>9936646</v>
      </c>
      <c r="N414" s="58">
        <f t="shared" si="161"/>
        <v>99888</v>
      </c>
      <c r="O414" s="58">
        <f t="shared" si="161"/>
        <v>13180498</v>
      </c>
      <c r="R414" s="62">
        <f t="shared" si="154"/>
        <v>102976587</v>
      </c>
      <c r="S414" s="62">
        <f t="shared" ref="S414" si="162">R414-C414</f>
        <v>78</v>
      </c>
      <c r="V414" s="100">
        <f t="shared" si="160"/>
        <v>26624761</v>
      </c>
      <c r="W414" s="100">
        <f t="shared" si="160"/>
        <v>62419239</v>
      </c>
      <c r="X414" s="100">
        <f t="shared" si="160"/>
        <v>1233898</v>
      </c>
      <c r="Y414" s="100">
        <f t="shared" si="156"/>
        <v>90277898</v>
      </c>
      <c r="Z414" s="100">
        <f t="shared" si="150"/>
        <v>-12698611</v>
      </c>
      <c r="AA414" s="101"/>
      <c r="AB414" s="101"/>
      <c r="AC414" s="98"/>
      <c r="AD414" s="98"/>
      <c r="AE414" s="98"/>
      <c r="AF414" s="98"/>
    </row>
    <row r="417" spans="1:34" s="4" customFormat="1" ht="28.5" customHeight="1" x14ac:dyDescent="0.25">
      <c r="A417" s="152" t="s">
        <v>17</v>
      </c>
      <c r="B417" s="152" t="s">
        <v>33</v>
      </c>
      <c r="C417" s="153" t="s">
        <v>89</v>
      </c>
      <c r="D417" s="152" t="s">
        <v>69</v>
      </c>
      <c r="E417" s="152"/>
      <c r="F417" s="152"/>
      <c r="G417" s="152"/>
      <c r="H417" s="152"/>
      <c r="I417" s="152"/>
      <c r="J417" s="152"/>
      <c r="K417" s="152"/>
      <c r="L417" s="152"/>
      <c r="M417" s="152"/>
      <c r="N417" s="152"/>
      <c r="O417" s="152"/>
      <c r="R417" s="61"/>
      <c r="S417" s="61"/>
      <c r="V417" s="61"/>
      <c r="W417" s="61"/>
      <c r="X417" s="61"/>
      <c r="Y417" s="61"/>
      <c r="Z417" s="61"/>
      <c r="AC417" s="95"/>
      <c r="AD417" s="95"/>
      <c r="AE417" s="95"/>
      <c r="AF417" s="95"/>
      <c r="AG417" s="93"/>
      <c r="AH417" s="95"/>
    </row>
    <row r="418" spans="1:34" s="4" customFormat="1" ht="41.25" customHeight="1" x14ac:dyDescent="0.25">
      <c r="A418" s="152"/>
      <c r="B418" s="152"/>
      <c r="C418" s="153"/>
      <c r="D418" s="154" t="s">
        <v>36</v>
      </c>
      <c r="E418" s="154"/>
      <c r="F418" s="154"/>
      <c r="G418" s="154"/>
      <c r="H418" s="155" t="s">
        <v>37</v>
      </c>
      <c r="I418" s="156"/>
      <c r="J418" s="156"/>
      <c r="K418" s="157"/>
      <c r="L418" s="155" t="s">
        <v>38</v>
      </c>
      <c r="M418" s="156"/>
      <c r="N418" s="156"/>
      <c r="O418" s="157"/>
      <c r="R418" s="61"/>
      <c r="S418" s="61"/>
      <c r="V418" s="61"/>
      <c r="W418" s="61"/>
      <c r="X418" s="61"/>
      <c r="Y418" s="61"/>
      <c r="Z418" s="61"/>
      <c r="AC418" s="95"/>
      <c r="AD418" s="95"/>
      <c r="AE418" s="95"/>
      <c r="AF418" s="95"/>
      <c r="AG418" s="93"/>
      <c r="AH418" s="95"/>
    </row>
    <row r="419" spans="1:34" s="4" customFormat="1" ht="59.25" customHeight="1" x14ac:dyDescent="0.25">
      <c r="A419" s="152"/>
      <c r="B419" s="152"/>
      <c r="C419" s="153"/>
      <c r="D419" s="83" t="s">
        <v>66</v>
      </c>
      <c r="E419" s="83" t="s">
        <v>67</v>
      </c>
      <c r="F419" s="83" t="s">
        <v>68</v>
      </c>
      <c r="G419" s="83" t="s">
        <v>70</v>
      </c>
      <c r="H419" s="65" t="s">
        <v>66</v>
      </c>
      <c r="I419" s="65" t="s">
        <v>67</v>
      </c>
      <c r="J419" s="65" t="s">
        <v>68</v>
      </c>
      <c r="K419" s="65" t="s">
        <v>71</v>
      </c>
      <c r="L419" s="65" t="s">
        <v>66</v>
      </c>
      <c r="M419" s="65" t="s">
        <v>67</v>
      </c>
      <c r="N419" s="65" t="s">
        <v>68</v>
      </c>
      <c r="O419" s="65" t="s">
        <v>72</v>
      </c>
      <c r="R419" s="61"/>
      <c r="S419" s="61"/>
      <c r="V419" s="61" t="s">
        <v>44</v>
      </c>
      <c r="W419" s="61" t="s">
        <v>96</v>
      </c>
      <c r="X419" s="61" t="s">
        <v>97</v>
      </c>
      <c r="Y419" s="61"/>
      <c r="Z419" s="61"/>
      <c r="AC419" s="95"/>
      <c r="AD419" s="95"/>
      <c r="AE419" s="95"/>
      <c r="AF419" s="95"/>
      <c r="AG419" s="93"/>
      <c r="AH419" s="95"/>
    </row>
    <row r="420" spans="1:34" s="3" customFormat="1" ht="14.25" customHeight="1" x14ac:dyDescent="0.25">
      <c r="A420" s="53">
        <v>1</v>
      </c>
      <c r="B420" s="53">
        <v>2</v>
      </c>
      <c r="C420" s="53">
        <v>3</v>
      </c>
      <c r="D420" s="53">
        <v>4</v>
      </c>
      <c r="E420" s="53">
        <v>5</v>
      </c>
      <c r="F420" s="53">
        <v>6</v>
      </c>
      <c r="G420" s="53">
        <v>7</v>
      </c>
      <c r="H420" s="66">
        <v>8</v>
      </c>
      <c r="I420" s="66">
        <v>9</v>
      </c>
      <c r="J420" s="66">
        <v>10</v>
      </c>
      <c r="K420" s="66">
        <v>11</v>
      </c>
      <c r="L420" s="66">
        <v>12</v>
      </c>
      <c r="M420" s="66">
        <v>13</v>
      </c>
      <c r="N420" s="66">
        <v>14</v>
      </c>
      <c r="O420" s="66">
        <v>15</v>
      </c>
      <c r="R420" s="61"/>
      <c r="S420" s="61"/>
      <c r="V420" s="61"/>
      <c r="W420" s="61"/>
      <c r="X420" s="61"/>
      <c r="Y420" s="61"/>
      <c r="Z420" s="61"/>
      <c r="AC420" s="95"/>
      <c r="AD420" s="95"/>
      <c r="AE420" s="95"/>
      <c r="AF420" s="95"/>
      <c r="AG420" s="94"/>
      <c r="AH420" s="95"/>
    </row>
    <row r="421" spans="1:34" s="3" customFormat="1" ht="25.5" customHeight="1" x14ac:dyDescent="0.25">
      <c r="A421" s="53" t="s">
        <v>16</v>
      </c>
      <c r="B421" s="54" t="s">
        <v>15</v>
      </c>
      <c r="C421" s="63">
        <f t="shared" ref="C421:F436" si="163">C80+C176+C273+C371</f>
        <v>49901452</v>
      </c>
      <c r="D421" s="55">
        <f t="shared" si="163"/>
        <v>1228488</v>
      </c>
      <c r="E421" s="55">
        <f t="shared" si="163"/>
        <v>6557633</v>
      </c>
      <c r="F421" s="55">
        <f t="shared" si="163"/>
        <v>0</v>
      </c>
      <c r="G421" s="55">
        <f t="shared" ref="G421:G438" si="164">D421+E421+F421</f>
        <v>7786121</v>
      </c>
      <c r="H421" s="63">
        <f t="shared" ref="H421:J436" si="165">H80+H176+H273+H371</f>
        <v>5180075</v>
      </c>
      <c r="I421" s="63">
        <f t="shared" si="165"/>
        <v>27651089</v>
      </c>
      <c r="J421" s="63">
        <f t="shared" si="165"/>
        <v>0</v>
      </c>
      <c r="K421" s="63">
        <f t="shared" ref="K421:K438" si="166">H421+I421+J421</f>
        <v>32831164</v>
      </c>
      <c r="L421" s="63">
        <f t="shared" ref="L421:N436" si="167">L80+L176+L273+L371</f>
        <v>1464849</v>
      </c>
      <c r="M421" s="63">
        <f t="shared" si="167"/>
        <v>7819318</v>
      </c>
      <c r="N421" s="63">
        <f t="shared" si="167"/>
        <v>0</v>
      </c>
      <c r="O421" s="63">
        <f t="shared" ref="O421:O438" si="168">L421+M421+N421</f>
        <v>9284167</v>
      </c>
      <c r="R421" s="62">
        <f t="shared" ref="R421:R439" si="169">G421+K421+O421</f>
        <v>49901452</v>
      </c>
      <c r="S421" s="62">
        <f t="shared" ref="S421:S439" si="170">R421-C421</f>
        <v>0</v>
      </c>
      <c r="V421" s="62">
        <f>D421+H421+L421</f>
        <v>7873412</v>
      </c>
      <c r="W421" s="62">
        <f>E421+I421+M421</f>
        <v>42028040</v>
      </c>
      <c r="X421" s="62">
        <f t="shared" ref="X421:X439" si="171">F421+J421+N421</f>
        <v>0</v>
      </c>
      <c r="Y421" s="62">
        <f>V421+W421+X421</f>
        <v>49901452</v>
      </c>
      <c r="Z421" s="62">
        <f>Y421-C421</f>
        <v>0</v>
      </c>
      <c r="AC421" s="98"/>
      <c r="AD421" s="95"/>
      <c r="AE421" s="95"/>
      <c r="AF421" s="95"/>
      <c r="AG421" s="94"/>
      <c r="AH421" s="95"/>
    </row>
    <row r="422" spans="1:34" ht="40.5" customHeight="1" x14ac:dyDescent="0.25">
      <c r="A422" s="56" t="s">
        <v>24</v>
      </c>
      <c r="B422" s="54" t="s">
        <v>14</v>
      </c>
      <c r="C422" s="63">
        <f t="shared" si="163"/>
        <v>3456980</v>
      </c>
      <c r="D422" s="55">
        <f t="shared" si="163"/>
        <v>383858</v>
      </c>
      <c r="E422" s="55">
        <f t="shared" si="163"/>
        <v>322234</v>
      </c>
      <c r="F422" s="55">
        <f t="shared" si="163"/>
        <v>10262</v>
      </c>
      <c r="G422" s="55">
        <f t="shared" si="164"/>
        <v>716354</v>
      </c>
      <c r="H422" s="63">
        <f t="shared" si="165"/>
        <v>1128085</v>
      </c>
      <c r="I422" s="63">
        <f t="shared" si="165"/>
        <v>946986</v>
      </c>
      <c r="J422" s="63">
        <f t="shared" si="165"/>
        <v>30160</v>
      </c>
      <c r="K422" s="63">
        <f t="shared" si="166"/>
        <v>2105231</v>
      </c>
      <c r="L422" s="63">
        <f t="shared" si="167"/>
        <v>340474</v>
      </c>
      <c r="M422" s="63">
        <f t="shared" si="167"/>
        <v>285818</v>
      </c>
      <c r="N422" s="63">
        <f t="shared" si="167"/>
        <v>9103</v>
      </c>
      <c r="O422" s="63">
        <f t="shared" si="168"/>
        <v>635395</v>
      </c>
      <c r="R422" s="62">
        <f t="shared" si="169"/>
        <v>3456980</v>
      </c>
      <c r="S422" s="62">
        <f t="shared" si="170"/>
        <v>0</v>
      </c>
      <c r="V422" s="62">
        <f t="shared" ref="V422:W439" si="172">D422+H422+L422</f>
        <v>1852417</v>
      </c>
      <c r="W422" s="62">
        <f t="shared" si="172"/>
        <v>1555038</v>
      </c>
      <c r="X422" s="62">
        <f t="shared" si="171"/>
        <v>49525</v>
      </c>
      <c r="Y422" s="62">
        <f t="shared" ref="Y422:Y439" si="173">V422+W422+X422</f>
        <v>3456980</v>
      </c>
      <c r="Z422" s="62">
        <f t="shared" ref="Z422:Z439" si="174">Y422-C422</f>
        <v>0</v>
      </c>
    </row>
    <row r="423" spans="1:34" ht="34.5" customHeight="1" x14ac:dyDescent="0.25">
      <c r="A423" s="56" t="s">
        <v>24</v>
      </c>
      <c r="B423" s="54" t="s">
        <v>13</v>
      </c>
      <c r="C423" s="63">
        <f t="shared" si="163"/>
        <v>16849168</v>
      </c>
      <c r="D423" s="55">
        <f t="shared" si="163"/>
        <v>0</v>
      </c>
      <c r="E423" s="55">
        <f t="shared" si="163"/>
        <v>955012</v>
      </c>
      <c r="F423" s="55">
        <f t="shared" si="163"/>
        <v>0</v>
      </c>
      <c r="G423" s="55">
        <f t="shared" si="164"/>
        <v>955012</v>
      </c>
      <c r="H423" s="63">
        <f t="shared" si="165"/>
        <v>0</v>
      </c>
      <c r="I423" s="63">
        <f t="shared" si="165"/>
        <v>14155830</v>
      </c>
      <c r="J423" s="63">
        <f t="shared" si="165"/>
        <v>0</v>
      </c>
      <c r="K423" s="63">
        <f t="shared" si="166"/>
        <v>14155830</v>
      </c>
      <c r="L423" s="63">
        <f t="shared" si="167"/>
        <v>0</v>
      </c>
      <c r="M423" s="63">
        <f t="shared" si="167"/>
        <v>1738326</v>
      </c>
      <c r="N423" s="63">
        <f t="shared" si="167"/>
        <v>0</v>
      </c>
      <c r="O423" s="63">
        <f t="shared" si="168"/>
        <v>1738326</v>
      </c>
      <c r="R423" s="62">
        <f t="shared" si="169"/>
        <v>16849168</v>
      </c>
      <c r="S423" s="62">
        <f t="shared" si="170"/>
        <v>0</v>
      </c>
      <c r="V423" s="62">
        <f t="shared" si="172"/>
        <v>0</v>
      </c>
      <c r="W423" s="62">
        <f t="shared" si="172"/>
        <v>16849168</v>
      </c>
      <c r="X423" s="62">
        <f t="shared" si="171"/>
        <v>0</v>
      </c>
      <c r="Y423" s="62">
        <f t="shared" si="173"/>
        <v>16849168</v>
      </c>
      <c r="Z423" s="62">
        <f t="shared" si="174"/>
        <v>0</v>
      </c>
    </row>
    <row r="424" spans="1:34" ht="40.5" customHeight="1" x14ac:dyDescent="0.25">
      <c r="A424" s="56" t="s">
        <v>22</v>
      </c>
      <c r="B424" s="54" t="s">
        <v>12</v>
      </c>
      <c r="C424" s="63">
        <f t="shared" si="163"/>
        <v>2104889</v>
      </c>
      <c r="D424" s="55">
        <f t="shared" si="163"/>
        <v>242125</v>
      </c>
      <c r="E424" s="55">
        <f t="shared" si="163"/>
        <v>0</v>
      </c>
      <c r="F424" s="55">
        <f t="shared" si="163"/>
        <v>0</v>
      </c>
      <c r="G424" s="55">
        <f t="shared" si="164"/>
        <v>242125</v>
      </c>
      <c r="H424" s="63">
        <f t="shared" si="165"/>
        <v>1574709</v>
      </c>
      <c r="I424" s="63">
        <f t="shared" si="165"/>
        <v>0</v>
      </c>
      <c r="J424" s="63">
        <f t="shared" si="165"/>
        <v>0</v>
      </c>
      <c r="K424" s="63">
        <f t="shared" si="166"/>
        <v>1574709</v>
      </c>
      <c r="L424" s="63">
        <f t="shared" si="167"/>
        <v>288055</v>
      </c>
      <c r="M424" s="63">
        <f t="shared" si="167"/>
        <v>0</v>
      </c>
      <c r="N424" s="63">
        <f t="shared" si="167"/>
        <v>0</v>
      </c>
      <c r="O424" s="63">
        <f t="shared" si="168"/>
        <v>288055</v>
      </c>
      <c r="R424" s="62">
        <f t="shared" si="169"/>
        <v>2104889</v>
      </c>
      <c r="S424" s="62">
        <f t="shared" si="170"/>
        <v>0</v>
      </c>
      <c r="V424" s="62">
        <f t="shared" si="172"/>
        <v>2104889</v>
      </c>
      <c r="W424" s="62">
        <f t="shared" si="172"/>
        <v>0</v>
      </c>
      <c r="X424" s="62">
        <f t="shared" si="171"/>
        <v>0</v>
      </c>
      <c r="Y424" s="62">
        <f t="shared" si="173"/>
        <v>2104889</v>
      </c>
      <c r="Z424" s="62">
        <f t="shared" si="174"/>
        <v>0</v>
      </c>
    </row>
    <row r="425" spans="1:34" ht="39.75" customHeight="1" x14ac:dyDescent="0.25">
      <c r="A425" s="56" t="s">
        <v>23</v>
      </c>
      <c r="B425" s="54" t="s">
        <v>11</v>
      </c>
      <c r="C425" s="63">
        <f t="shared" si="163"/>
        <v>1965020</v>
      </c>
      <c r="D425" s="55">
        <f t="shared" si="163"/>
        <v>76870</v>
      </c>
      <c r="E425" s="55">
        <f t="shared" si="163"/>
        <v>121678</v>
      </c>
      <c r="F425" s="55">
        <f t="shared" si="163"/>
        <v>52678</v>
      </c>
      <c r="G425" s="55">
        <f t="shared" si="164"/>
        <v>251226</v>
      </c>
      <c r="H425" s="63">
        <f t="shared" si="165"/>
        <v>407781</v>
      </c>
      <c r="I425" s="63">
        <f t="shared" si="165"/>
        <v>645468</v>
      </c>
      <c r="J425" s="63">
        <f t="shared" si="165"/>
        <v>279448</v>
      </c>
      <c r="K425" s="63">
        <f t="shared" si="166"/>
        <v>1332697</v>
      </c>
      <c r="L425" s="63">
        <f t="shared" si="167"/>
        <v>116607</v>
      </c>
      <c r="M425" s="63">
        <f t="shared" si="167"/>
        <v>184578</v>
      </c>
      <c r="N425" s="63">
        <f t="shared" si="167"/>
        <v>79912</v>
      </c>
      <c r="O425" s="63">
        <f t="shared" si="168"/>
        <v>381097</v>
      </c>
      <c r="R425" s="62">
        <f t="shared" si="169"/>
        <v>1965020</v>
      </c>
      <c r="S425" s="62">
        <f t="shared" si="170"/>
        <v>0</v>
      </c>
      <c r="V425" s="62">
        <f t="shared" si="172"/>
        <v>601258</v>
      </c>
      <c r="W425" s="62">
        <f t="shared" si="172"/>
        <v>951724</v>
      </c>
      <c r="X425" s="62">
        <f t="shared" si="171"/>
        <v>412038</v>
      </c>
      <c r="Y425" s="62">
        <f t="shared" si="173"/>
        <v>1965020</v>
      </c>
      <c r="Z425" s="62">
        <f t="shared" si="174"/>
        <v>0</v>
      </c>
    </row>
    <row r="426" spans="1:34" ht="28.5" customHeight="1" x14ac:dyDescent="0.25">
      <c r="A426" s="56" t="s">
        <v>20</v>
      </c>
      <c r="B426" s="54" t="s">
        <v>34</v>
      </c>
      <c r="C426" s="63">
        <f t="shared" si="163"/>
        <v>3117319</v>
      </c>
      <c r="D426" s="55">
        <f t="shared" si="163"/>
        <v>583499</v>
      </c>
      <c r="E426" s="55">
        <f t="shared" si="163"/>
        <v>0</v>
      </c>
      <c r="F426" s="55">
        <f t="shared" si="163"/>
        <v>0</v>
      </c>
      <c r="G426" s="55">
        <f t="shared" si="164"/>
        <v>583499</v>
      </c>
      <c r="H426" s="63">
        <f t="shared" si="165"/>
        <v>1904590</v>
      </c>
      <c r="I426" s="63">
        <f t="shared" si="165"/>
        <v>0</v>
      </c>
      <c r="J426" s="63">
        <f t="shared" si="165"/>
        <v>0</v>
      </c>
      <c r="K426" s="63">
        <f t="shared" si="166"/>
        <v>1904590</v>
      </c>
      <c r="L426" s="63">
        <f t="shared" si="167"/>
        <v>629230</v>
      </c>
      <c r="M426" s="63">
        <f t="shared" si="167"/>
        <v>0</v>
      </c>
      <c r="N426" s="63">
        <f t="shared" si="167"/>
        <v>0</v>
      </c>
      <c r="O426" s="63">
        <f t="shared" si="168"/>
        <v>629230</v>
      </c>
      <c r="R426" s="62">
        <f t="shared" si="169"/>
        <v>3117319</v>
      </c>
      <c r="S426" s="62">
        <f t="shared" si="170"/>
        <v>0</v>
      </c>
      <c r="V426" s="62">
        <f t="shared" si="172"/>
        <v>3117319</v>
      </c>
      <c r="W426" s="62">
        <f t="shared" si="172"/>
        <v>0</v>
      </c>
      <c r="X426" s="62">
        <f t="shared" si="171"/>
        <v>0</v>
      </c>
      <c r="Y426" s="62">
        <f t="shared" si="173"/>
        <v>3117319</v>
      </c>
      <c r="Z426" s="62">
        <f t="shared" si="174"/>
        <v>0</v>
      </c>
    </row>
    <row r="427" spans="1:34" ht="34.5" customHeight="1" x14ac:dyDescent="0.25">
      <c r="A427" s="56" t="s">
        <v>22</v>
      </c>
      <c r="B427" s="54" t="s">
        <v>10</v>
      </c>
      <c r="C427" s="63">
        <f t="shared" si="163"/>
        <v>11874155</v>
      </c>
      <c r="D427" s="55">
        <f t="shared" si="163"/>
        <v>257919</v>
      </c>
      <c r="E427" s="55">
        <f t="shared" si="163"/>
        <v>337356</v>
      </c>
      <c r="F427" s="55">
        <f t="shared" si="163"/>
        <v>15884</v>
      </c>
      <c r="G427" s="55">
        <f t="shared" si="164"/>
        <v>611159</v>
      </c>
      <c r="H427" s="63">
        <f t="shared" si="165"/>
        <v>4011485</v>
      </c>
      <c r="I427" s="63">
        <f t="shared" si="165"/>
        <v>5246962</v>
      </c>
      <c r="J427" s="63">
        <f t="shared" si="165"/>
        <v>247053</v>
      </c>
      <c r="K427" s="63">
        <f t="shared" si="166"/>
        <v>9505500</v>
      </c>
      <c r="L427" s="63">
        <f t="shared" si="167"/>
        <v>741696</v>
      </c>
      <c r="M427" s="63">
        <f t="shared" si="167"/>
        <v>970124</v>
      </c>
      <c r="N427" s="63">
        <f t="shared" si="167"/>
        <v>45676</v>
      </c>
      <c r="O427" s="63">
        <f t="shared" si="168"/>
        <v>1757496</v>
      </c>
      <c r="R427" s="62">
        <f t="shared" si="169"/>
        <v>11874155</v>
      </c>
      <c r="S427" s="62">
        <f t="shared" si="170"/>
        <v>0</v>
      </c>
      <c r="V427" s="62">
        <f t="shared" si="172"/>
        <v>5011100</v>
      </c>
      <c r="W427" s="62">
        <f t="shared" si="172"/>
        <v>6554442</v>
      </c>
      <c r="X427" s="62">
        <f t="shared" si="171"/>
        <v>308613</v>
      </c>
      <c r="Y427" s="62">
        <f t="shared" si="173"/>
        <v>11874155</v>
      </c>
      <c r="Z427" s="62">
        <f t="shared" si="174"/>
        <v>0</v>
      </c>
    </row>
    <row r="428" spans="1:34" ht="25.5" customHeight="1" x14ac:dyDescent="0.25">
      <c r="A428" s="56" t="s">
        <v>21</v>
      </c>
      <c r="B428" s="54" t="s">
        <v>9</v>
      </c>
      <c r="C428" s="63">
        <f t="shared" si="163"/>
        <v>10262439</v>
      </c>
      <c r="D428" s="55">
        <f t="shared" si="163"/>
        <v>869461</v>
      </c>
      <c r="E428" s="55">
        <f t="shared" si="163"/>
        <v>1570761</v>
      </c>
      <c r="F428" s="55">
        <f t="shared" si="163"/>
        <v>31593</v>
      </c>
      <c r="G428" s="55">
        <f t="shared" si="164"/>
        <v>2471815</v>
      </c>
      <c r="H428" s="63">
        <f t="shared" si="165"/>
        <v>2716750</v>
      </c>
      <c r="I428" s="63">
        <f t="shared" si="165"/>
        <v>4908047</v>
      </c>
      <c r="J428" s="63">
        <f t="shared" si="165"/>
        <v>98711</v>
      </c>
      <c r="K428" s="63">
        <f t="shared" si="166"/>
        <v>7723508</v>
      </c>
      <c r="L428" s="63">
        <f t="shared" si="167"/>
        <v>23608</v>
      </c>
      <c r="M428" s="63">
        <f t="shared" si="167"/>
        <v>42651</v>
      </c>
      <c r="N428" s="63">
        <f t="shared" si="167"/>
        <v>857</v>
      </c>
      <c r="O428" s="63">
        <f t="shared" si="168"/>
        <v>67116</v>
      </c>
      <c r="R428" s="62">
        <f t="shared" si="169"/>
        <v>10262439</v>
      </c>
      <c r="S428" s="62">
        <f t="shared" si="170"/>
        <v>0</v>
      </c>
      <c r="V428" s="62">
        <f t="shared" si="172"/>
        <v>3609819</v>
      </c>
      <c r="W428" s="62">
        <f t="shared" si="172"/>
        <v>6521459</v>
      </c>
      <c r="X428" s="62">
        <f t="shared" si="171"/>
        <v>131161</v>
      </c>
      <c r="Y428" s="62">
        <f t="shared" si="173"/>
        <v>10262439</v>
      </c>
      <c r="Z428" s="62">
        <f t="shared" si="174"/>
        <v>0</v>
      </c>
    </row>
    <row r="429" spans="1:34" ht="25.5" customHeight="1" x14ac:dyDescent="0.25">
      <c r="A429" s="56" t="s">
        <v>25</v>
      </c>
      <c r="B429" s="54" t="s">
        <v>8</v>
      </c>
      <c r="C429" s="63">
        <f t="shared" si="163"/>
        <v>14723877</v>
      </c>
      <c r="D429" s="55">
        <f t="shared" si="163"/>
        <v>103821</v>
      </c>
      <c r="E429" s="55">
        <f t="shared" si="163"/>
        <v>477774</v>
      </c>
      <c r="F429" s="55">
        <f t="shared" si="163"/>
        <v>0</v>
      </c>
      <c r="G429" s="55">
        <f t="shared" si="164"/>
        <v>581595</v>
      </c>
      <c r="H429" s="63">
        <f t="shared" si="165"/>
        <v>1684963</v>
      </c>
      <c r="I429" s="63">
        <f t="shared" si="165"/>
        <v>7754218</v>
      </c>
      <c r="J429" s="63">
        <f t="shared" si="165"/>
        <v>0</v>
      </c>
      <c r="K429" s="63">
        <f t="shared" si="166"/>
        <v>9439181</v>
      </c>
      <c r="L429" s="63">
        <f t="shared" si="167"/>
        <v>839538</v>
      </c>
      <c r="M429" s="63">
        <f t="shared" si="167"/>
        <v>3863563</v>
      </c>
      <c r="N429" s="63">
        <f t="shared" si="167"/>
        <v>0</v>
      </c>
      <c r="O429" s="63">
        <f t="shared" si="168"/>
        <v>4703101</v>
      </c>
      <c r="R429" s="62">
        <f t="shared" si="169"/>
        <v>14723877</v>
      </c>
      <c r="S429" s="62">
        <f t="shared" si="170"/>
        <v>0</v>
      </c>
      <c r="V429" s="62">
        <f t="shared" si="172"/>
        <v>2628322</v>
      </c>
      <c r="W429" s="62">
        <f t="shared" si="172"/>
        <v>12095555</v>
      </c>
      <c r="X429" s="62">
        <f t="shared" si="171"/>
        <v>0</v>
      </c>
      <c r="Y429" s="62">
        <f t="shared" si="173"/>
        <v>14723877</v>
      </c>
      <c r="Z429" s="62">
        <f t="shared" si="174"/>
        <v>0</v>
      </c>
    </row>
    <row r="430" spans="1:34" ht="25.5" customHeight="1" x14ac:dyDescent="0.25">
      <c r="A430" s="56" t="s">
        <v>26</v>
      </c>
      <c r="B430" s="54" t="s">
        <v>7</v>
      </c>
      <c r="C430" s="63">
        <f t="shared" si="163"/>
        <v>8937921</v>
      </c>
      <c r="D430" s="55">
        <f t="shared" si="163"/>
        <v>20324</v>
      </c>
      <c r="E430" s="55">
        <f t="shared" si="163"/>
        <v>142972</v>
      </c>
      <c r="F430" s="55">
        <f t="shared" si="163"/>
        <v>0</v>
      </c>
      <c r="G430" s="55">
        <f t="shared" si="164"/>
        <v>163296</v>
      </c>
      <c r="H430" s="63">
        <f t="shared" si="165"/>
        <v>992926</v>
      </c>
      <c r="I430" s="63">
        <f t="shared" si="165"/>
        <v>6984884</v>
      </c>
      <c r="J430" s="63">
        <f t="shared" si="165"/>
        <v>0</v>
      </c>
      <c r="K430" s="63">
        <f t="shared" si="166"/>
        <v>7977810</v>
      </c>
      <c r="L430" s="63">
        <f t="shared" si="167"/>
        <v>99173</v>
      </c>
      <c r="M430" s="63">
        <f t="shared" si="167"/>
        <v>697642</v>
      </c>
      <c r="N430" s="63">
        <f t="shared" si="167"/>
        <v>0</v>
      </c>
      <c r="O430" s="63">
        <f t="shared" si="168"/>
        <v>796815</v>
      </c>
      <c r="R430" s="62">
        <f t="shared" si="169"/>
        <v>8937921</v>
      </c>
      <c r="S430" s="62">
        <f t="shared" si="170"/>
        <v>0</v>
      </c>
      <c r="V430" s="62">
        <f t="shared" si="172"/>
        <v>1112423</v>
      </c>
      <c r="W430" s="62">
        <f t="shared" si="172"/>
        <v>7825498</v>
      </c>
      <c r="X430" s="62">
        <f t="shared" si="171"/>
        <v>0</v>
      </c>
      <c r="Y430" s="62">
        <f t="shared" si="173"/>
        <v>8937921</v>
      </c>
      <c r="Z430" s="62">
        <f t="shared" si="174"/>
        <v>0</v>
      </c>
    </row>
    <row r="431" spans="1:34" ht="25.5" customHeight="1" x14ac:dyDescent="0.25">
      <c r="A431" s="56" t="s">
        <v>20</v>
      </c>
      <c r="B431" s="54" t="s">
        <v>6</v>
      </c>
      <c r="C431" s="63">
        <f t="shared" si="163"/>
        <v>9906241</v>
      </c>
      <c r="D431" s="55">
        <f t="shared" si="163"/>
        <v>37531</v>
      </c>
      <c r="E431" s="55">
        <f t="shared" si="163"/>
        <v>30565</v>
      </c>
      <c r="F431" s="55">
        <f t="shared" si="163"/>
        <v>948</v>
      </c>
      <c r="G431" s="55">
        <f t="shared" si="164"/>
        <v>69044</v>
      </c>
      <c r="H431" s="63">
        <f t="shared" si="165"/>
        <v>5339145</v>
      </c>
      <c r="I431" s="63">
        <f t="shared" si="165"/>
        <v>4348349</v>
      </c>
      <c r="J431" s="63">
        <f t="shared" si="165"/>
        <v>134843</v>
      </c>
      <c r="K431" s="63">
        <f t="shared" si="166"/>
        <v>9822337</v>
      </c>
      <c r="L431" s="63">
        <f t="shared" si="167"/>
        <v>8077</v>
      </c>
      <c r="M431" s="63">
        <f t="shared" si="167"/>
        <v>6580</v>
      </c>
      <c r="N431" s="63">
        <f t="shared" si="167"/>
        <v>203</v>
      </c>
      <c r="O431" s="63">
        <f t="shared" si="168"/>
        <v>14860</v>
      </c>
      <c r="R431" s="62">
        <f t="shared" si="169"/>
        <v>9906241</v>
      </c>
      <c r="S431" s="62">
        <f t="shared" si="170"/>
        <v>0</v>
      </c>
      <c r="V431" s="62">
        <f t="shared" si="172"/>
        <v>5384753</v>
      </c>
      <c r="W431" s="62">
        <f t="shared" si="172"/>
        <v>4385494</v>
      </c>
      <c r="X431" s="62">
        <f t="shared" si="171"/>
        <v>135994</v>
      </c>
      <c r="Y431" s="62">
        <f t="shared" si="173"/>
        <v>9906241</v>
      </c>
      <c r="Z431" s="62">
        <f t="shared" si="174"/>
        <v>0</v>
      </c>
    </row>
    <row r="432" spans="1:34" ht="25.5" customHeight="1" x14ac:dyDescent="0.25">
      <c r="A432" s="56" t="s">
        <v>19</v>
      </c>
      <c r="B432" s="54" t="s">
        <v>5</v>
      </c>
      <c r="C432" s="63">
        <f t="shared" si="163"/>
        <v>12470431</v>
      </c>
      <c r="D432" s="55">
        <f t="shared" si="163"/>
        <v>472866</v>
      </c>
      <c r="E432" s="55">
        <f t="shared" si="163"/>
        <v>1182974</v>
      </c>
      <c r="F432" s="55">
        <f t="shared" si="163"/>
        <v>69443</v>
      </c>
      <c r="G432" s="55">
        <f t="shared" si="164"/>
        <v>1725283</v>
      </c>
      <c r="H432" s="63">
        <f t="shared" si="165"/>
        <v>2916358</v>
      </c>
      <c r="I432" s="63">
        <f t="shared" si="165"/>
        <v>7295859</v>
      </c>
      <c r="J432" s="63">
        <f t="shared" si="165"/>
        <v>428302</v>
      </c>
      <c r="K432" s="63">
        <f t="shared" si="166"/>
        <v>10640519</v>
      </c>
      <c r="L432" s="63">
        <f t="shared" si="167"/>
        <v>28675</v>
      </c>
      <c r="M432" s="63">
        <f t="shared" si="167"/>
        <v>71738</v>
      </c>
      <c r="N432" s="63">
        <f t="shared" si="167"/>
        <v>4216</v>
      </c>
      <c r="O432" s="63">
        <f t="shared" si="168"/>
        <v>104629</v>
      </c>
      <c r="R432" s="62">
        <f t="shared" si="169"/>
        <v>12470431</v>
      </c>
      <c r="S432" s="62">
        <f t="shared" si="170"/>
        <v>0</v>
      </c>
      <c r="V432" s="62">
        <f t="shared" si="172"/>
        <v>3417899</v>
      </c>
      <c r="W432" s="62">
        <f t="shared" si="172"/>
        <v>8550571</v>
      </c>
      <c r="X432" s="62">
        <f t="shared" si="171"/>
        <v>501961</v>
      </c>
      <c r="Y432" s="62">
        <f t="shared" si="173"/>
        <v>12470431</v>
      </c>
      <c r="Z432" s="62">
        <f t="shared" si="174"/>
        <v>0</v>
      </c>
    </row>
    <row r="433" spans="1:26" ht="25.5" customHeight="1" x14ac:dyDescent="0.25">
      <c r="A433" s="56" t="s">
        <v>18</v>
      </c>
      <c r="B433" s="54" t="s">
        <v>4</v>
      </c>
      <c r="C433" s="63">
        <f t="shared" si="163"/>
        <v>9916111</v>
      </c>
      <c r="D433" s="55">
        <f t="shared" si="163"/>
        <v>192289</v>
      </c>
      <c r="E433" s="55">
        <f t="shared" si="163"/>
        <v>324020</v>
      </c>
      <c r="F433" s="55">
        <f t="shared" si="163"/>
        <v>13413</v>
      </c>
      <c r="G433" s="55">
        <f t="shared" si="164"/>
        <v>529722</v>
      </c>
      <c r="H433" s="63">
        <f t="shared" si="165"/>
        <v>3294676</v>
      </c>
      <c r="I433" s="63">
        <f t="shared" si="165"/>
        <v>5551808</v>
      </c>
      <c r="J433" s="63">
        <f t="shared" si="165"/>
        <v>229828</v>
      </c>
      <c r="K433" s="63">
        <f t="shared" si="166"/>
        <v>9076312</v>
      </c>
      <c r="L433" s="63">
        <f t="shared" si="167"/>
        <v>112556</v>
      </c>
      <c r="M433" s="63">
        <f t="shared" si="167"/>
        <v>189668</v>
      </c>
      <c r="N433" s="63">
        <f t="shared" si="167"/>
        <v>7853</v>
      </c>
      <c r="O433" s="63">
        <f t="shared" si="168"/>
        <v>310077</v>
      </c>
      <c r="R433" s="62">
        <f t="shared" si="169"/>
        <v>9916111</v>
      </c>
      <c r="S433" s="62">
        <f t="shared" si="170"/>
        <v>0</v>
      </c>
      <c r="V433" s="62">
        <f t="shared" si="172"/>
        <v>3599521</v>
      </c>
      <c r="W433" s="62">
        <f t="shared" si="172"/>
        <v>6065496</v>
      </c>
      <c r="X433" s="62">
        <f t="shared" si="171"/>
        <v>251094</v>
      </c>
      <c r="Y433" s="62">
        <f t="shared" si="173"/>
        <v>9916111</v>
      </c>
      <c r="Z433" s="62">
        <f t="shared" si="174"/>
        <v>0</v>
      </c>
    </row>
    <row r="434" spans="1:26" ht="25.5" customHeight="1" x14ac:dyDescent="0.25">
      <c r="A434" s="56" t="s">
        <v>25</v>
      </c>
      <c r="B434" s="54" t="s">
        <v>3</v>
      </c>
      <c r="C434" s="63">
        <f t="shared" si="163"/>
        <v>10671903</v>
      </c>
      <c r="D434" s="55">
        <f t="shared" si="163"/>
        <v>511513</v>
      </c>
      <c r="E434" s="55">
        <f t="shared" si="163"/>
        <v>251819</v>
      </c>
      <c r="F434" s="55">
        <f t="shared" si="163"/>
        <v>23615</v>
      </c>
      <c r="G434" s="55">
        <f t="shared" si="164"/>
        <v>786947</v>
      </c>
      <c r="H434" s="63">
        <f t="shared" si="165"/>
        <v>5715171</v>
      </c>
      <c r="I434" s="63">
        <f t="shared" si="165"/>
        <v>2813602</v>
      </c>
      <c r="J434" s="63">
        <f t="shared" si="165"/>
        <v>263809</v>
      </c>
      <c r="K434" s="63">
        <f t="shared" si="166"/>
        <v>8792582</v>
      </c>
      <c r="L434" s="63">
        <f t="shared" si="167"/>
        <v>710040</v>
      </c>
      <c r="M434" s="63">
        <f t="shared" si="167"/>
        <v>349558</v>
      </c>
      <c r="N434" s="63">
        <f t="shared" si="167"/>
        <v>32776</v>
      </c>
      <c r="O434" s="63">
        <f t="shared" si="168"/>
        <v>1092374</v>
      </c>
      <c r="R434" s="62">
        <f t="shared" si="169"/>
        <v>10671903</v>
      </c>
      <c r="S434" s="62">
        <f t="shared" si="170"/>
        <v>0</v>
      </c>
      <c r="V434" s="62">
        <f t="shared" si="172"/>
        <v>6936724</v>
      </c>
      <c r="W434" s="62">
        <f t="shared" si="172"/>
        <v>3414979</v>
      </c>
      <c r="X434" s="62">
        <f t="shared" si="171"/>
        <v>320200</v>
      </c>
      <c r="Y434" s="62">
        <f t="shared" si="173"/>
        <v>10671903</v>
      </c>
      <c r="Z434" s="62">
        <f t="shared" si="174"/>
        <v>0</v>
      </c>
    </row>
    <row r="435" spans="1:26" ht="54" customHeight="1" x14ac:dyDescent="0.25">
      <c r="A435" s="56" t="s">
        <v>30</v>
      </c>
      <c r="B435" s="54" t="s">
        <v>2</v>
      </c>
      <c r="C435" s="63">
        <f t="shared" si="163"/>
        <v>932904</v>
      </c>
      <c r="D435" s="55">
        <f t="shared" si="163"/>
        <v>26419</v>
      </c>
      <c r="E435" s="55">
        <f t="shared" si="163"/>
        <v>0</v>
      </c>
      <c r="F435" s="55">
        <f t="shared" si="163"/>
        <v>0</v>
      </c>
      <c r="G435" s="55">
        <f t="shared" si="164"/>
        <v>26419</v>
      </c>
      <c r="H435" s="63">
        <f t="shared" si="165"/>
        <v>781000</v>
      </c>
      <c r="I435" s="63">
        <f t="shared" si="165"/>
        <v>0</v>
      </c>
      <c r="J435" s="63">
        <f t="shared" si="165"/>
        <v>0</v>
      </c>
      <c r="K435" s="63">
        <f t="shared" si="166"/>
        <v>781000</v>
      </c>
      <c r="L435" s="63">
        <f t="shared" si="167"/>
        <v>125485</v>
      </c>
      <c r="M435" s="63">
        <f t="shared" si="167"/>
        <v>0</v>
      </c>
      <c r="N435" s="63">
        <f t="shared" si="167"/>
        <v>0</v>
      </c>
      <c r="O435" s="63">
        <f t="shared" si="168"/>
        <v>125485</v>
      </c>
      <c r="R435" s="62">
        <f t="shared" si="169"/>
        <v>932904</v>
      </c>
      <c r="S435" s="62">
        <f t="shared" si="170"/>
        <v>0</v>
      </c>
      <c r="V435" s="62">
        <f t="shared" si="172"/>
        <v>932904</v>
      </c>
      <c r="W435" s="62">
        <f t="shared" si="172"/>
        <v>0</v>
      </c>
      <c r="X435" s="62">
        <f t="shared" si="171"/>
        <v>0</v>
      </c>
      <c r="Y435" s="62">
        <f t="shared" si="173"/>
        <v>932904</v>
      </c>
      <c r="Z435" s="62">
        <f t="shared" si="174"/>
        <v>0</v>
      </c>
    </row>
    <row r="436" spans="1:26" ht="39.75" customHeight="1" x14ac:dyDescent="0.25">
      <c r="A436" s="56" t="s">
        <v>31</v>
      </c>
      <c r="B436" s="54" t="s">
        <v>1</v>
      </c>
      <c r="C436" s="63">
        <f t="shared" si="163"/>
        <v>678715</v>
      </c>
      <c r="D436" s="55">
        <f t="shared" si="163"/>
        <v>50483</v>
      </c>
      <c r="E436" s="55">
        <f t="shared" si="163"/>
        <v>0</v>
      </c>
      <c r="F436" s="55">
        <f t="shared" si="163"/>
        <v>0</v>
      </c>
      <c r="G436" s="55">
        <f t="shared" si="164"/>
        <v>50483</v>
      </c>
      <c r="H436" s="63">
        <f t="shared" si="165"/>
        <v>600853</v>
      </c>
      <c r="I436" s="63">
        <f t="shared" si="165"/>
        <v>0</v>
      </c>
      <c r="J436" s="63">
        <f t="shared" si="165"/>
        <v>0</v>
      </c>
      <c r="K436" s="63">
        <f t="shared" si="166"/>
        <v>600853</v>
      </c>
      <c r="L436" s="63">
        <f t="shared" si="167"/>
        <v>27379</v>
      </c>
      <c r="M436" s="63">
        <f t="shared" si="167"/>
        <v>0</v>
      </c>
      <c r="N436" s="63">
        <f t="shared" si="167"/>
        <v>0</v>
      </c>
      <c r="O436" s="63">
        <f t="shared" si="168"/>
        <v>27379</v>
      </c>
      <c r="R436" s="62">
        <f t="shared" si="169"/>
        <v>678715</v>
      </c>
      <c r="S436" s="62">
        <f t="shared" si="170"/>
        <v>0</v>
      </c>
      <c r="V436" s="62">
        <f t="shared" si="172"/>
        <v>678715</v>
      </c>
      <c r="W436" s="62">
        <f t="shared" si="172"/>
        <v>0</v>
      </c>
      <c r="X436" s="62">
        <f t="shared" si="171"/>
        <v>0</v>
      </c>
      <c r="Y436" s="62">
        <f t="shared" si="173"/>
        <v>678715</v>
      </c>
      <c r="Z436" s="62">
        <f t="shared" si="174"/>
        <v>0</v>
      </c>
    </row>
    <row r="437" spans="1:26" ht="33" customHeight="1" x14ac:dyDescent="0.25">
      <c r="A437" s="56" t="s">
        <v>32</v>
      </c>
      <c r="B437" s="54" t="s">
        <v>73</v>
      </c>
      <c r="C437" s="63">
        <f t="shared" ref="C437:F438" si="175">C96+C192+C289+C387</f>
        <v>892750</v>
      </c>
      <c r="D437" s="55">
        <f t="shared" si="175"/>
        <v>175593</v>
      </c>
      <c r="E437" s="55">
        <f t="shared" si="175"/>
        <v>0</v>
      </c>
      <c r="F437" s="55">
        <f t="shared" si="175"/>
        <v>0</v>
      </c>
      <c r="G437" s="55">
        <f t="shared" si="164"/>
        <v>175593</v>
      </c>
      <c r="H437" s="63">
        <f t="shared" ref="H437:J438" si="176">H96+H192+H289+H387</f>
        <v>574806</v>
      </c>
      <c r="I437" s="63">
        <f t="shared" si="176"/>
        <v>0</v>
      </c>
      <c r="J437" s="63">
        <f t="shared" si="176"/>
        <v>0</v>
      </c>
      <c r="K437" s="63">
        <f t="shared" si="166"/>
        <v>574806</v>
      </c>
      <c r="L437" s="63">
        <f t="shared" ref="L437:N438" si="177">L96+L192+L289+L387</f>
        <v>142351</v>
      </c>
      <c r="M437" s="63">
        <f t="shared" si="177"/>
        <v>0</v>
      </c>
      <c r="N437" s="63">
        <f t="shared" si="177"/>
        <v>0</v>
      </c>
      <c r="O437" s="63">
        <f t="shared" si="168"/>
        <v>142351</v>
      </c>
      <c r="R437" s="62">
        <f t="shared" si="169"/>
        <v>892750</v>
      </c>
      <c r="S437" s="62">
        <f t="shared" si="170"/>
        <v>0</v>
      </c>
      <c r="V437" s="62">
        <f t="shared" si="172"/>
        <v>892750</v>
      </c>
      <c r="W437" s="62">
        <f t="shared" si="172"/>
        <v>0</v>
      </c>
      <c r="X437" s="62">
        <f t="shared" si="171"/>
        <v>0</v>
      </c>
      <c r="Y437" s="62">
        <f t="shared" si="173"/>
        <v>892750</v>
      </c>
      <c r="Z437" s="62">
        <f t="shared" si="174"/>
        <v>0</v>
      </c>
    </row>
    <row r="438" spans="1:26" ht="33" customHeight="1" x14ac:dyDescent="0.25">
      <c r="A438" s="56" t="s">
        <v>90</v>
      </c>
      <c r="B438" s="70" t="s">
        <v>91</v>
      </c>
      <c r="C438" s="63">
        <f t="shared" si="175"/>
        <v>739943</v>
      </c>
      <c r="D438" s="55">
        <f t="shared" si="175"/>
        <v>0</v>
      </c>
      <c r="E438" s="55">
        <f t="shared" si="175"/>
        <v>125228</v>
      </c>
      <c r="F438" s="55">
        <f t="shared" si="175"/>
        <v>0</v>
      </c>
      <c r="G438" s="55">
        <f t="shared" si="164"/>
        <v>125228</v>
      </c>
      <c r="H438" s="63">
        <f t="shared" si="176"/>
        <v>0</v>
      </c>
      <c r="I438" s="63">
        <f t="shared" si="176"/>
        <v>411675</v>
      </c>
      <c r="J438" s="63">
        <f t="shared" si="176"/>
        <v>0</v>
      </c>
      <c r="K438" s="63">
        <f t="shared" si="166"/>
        <v>411675</v>
      </c>
      <c r="L438" s="63">
        <f t="shared" si="177"/>
        <v>0</v>
      </c>
      <c r="M438" s="63">
        <f t="shared" si="177"/>
        <v>203040</v>
      </c>
      <c r="N438" s="63">
        <f t="shared" si="177"/>
        <v>0</v>
      </c>
      <c r="O438" s="63">
        <f t="shared" si="168"/>
        <v>203040</v>
      </c>
      <c r="R438" s="62">
        <f t="shared" si="169"/>
        <v>739943</v>
      </c>
      <c r="S438" s="62">
        <f t="shared" si="170"/>
        <v>0</v>
      </c>
      <c r="V438" s="62">
        <f t="shared" si="172"/>
        <v>0</v>
      </c>
      <c r="W438" s="62">
        <f t="shared" si="172"/>
        <v>739943</v>
      </c>
      <c r="X438" s="62">
        <f t="shared" si="171"/>
        <v>0</v>
      </c>
      <c r="Y438" s="62">
        <f t="shared" si="173"/>
        <v>739943</v>
      </c>
      <c r="Z438" s="62">
        <f t="shared" si="174"/>
        <v>0</v>
      </c>
    </row>
    <row r="439" spans="1:26" ht="25.5" customHeight="1" x14ac:dyDescent="0.25">
      <c r="A439" s="57"/>
      <c r="B439" s="57" t="s">
        <v>0</v>
      </c>
      <c r="C439" s="58">
        <f>SUM(C421:C438)</f>
        <v>169402218</v>
      </c>
      <c r="D439" s="58">
        <f t="shared" ref="D439:O439" si="178">SUM(D421:D438)</f>
        <v>5233059</v>
      </c>
      <c r="E439" s="58">
        <f t="shared" si="178"/>
        <v>12400026</v>
      </c>
      <c r="F439" s="58">
        <f t="shared" si="178"/>
        <v>217836</v>
      </c>
      <c r="G439" s="58">
        <f t="shared" si="178"/>
        <v>17850921</v>
      </c>
      <c r="H439" s="58">
        <f t="shared" si="178"/>
        <v>38823373</v>
      </c>
      <c r="I439" s="58">
        <f t="shared" si="178"/>
        <v>88714777</v>
      </c>
      <c r="J439" s="58">
        <f t="shared" si="178"/>
        <v>1712154</v>
      </c>
      <c r="K439" s="58">
        <f t="shared" si="178"/>
        <v>129250304</v>
      </c>
      <c r="L439" s="58">
        <f t="shared" si="178"/>
        <v>5697793</v>
      </c>
      <c r="M439" s="58">
        <f t="shared" si="178"/>
        <v>16422604</v>
      </c>
      <c r="N439" s="58">
        <f t="shared" si="178"/>
        <v>180596</v>
      </c>
      <c r="O439" s="58">
        <f t="shared" si="178"/>
        <v>22300993</v>
      </c>
      <c r="R439" s="62">
        <f t="shared" si="169"/>
        <v>169402218</v>
      </c>
      <c r="S439" s="62">
        <f t="shared" si="170"/>
        <v>0</v>
      </c>
      <c r="V439" s="62">
        <f t="shared" si="172"/>
        <v>49754225</v>
      </c>
      <c r="W439" s="62">
        <f t="shared" si="172"/>
        <v>117537407</v>
      </c>
      <c r="X439" s="62">
        <f t="shared" si="171"/>
        <v>2110586</v>
      </c>
      <c r="Y439" s="62">
        <f t="shared" si="173"/>
        <v>169402218</v>
      </c>
      <c r="Z439" s="62">
        <f t="shared" si="174"/>
        <v>0</v>
      </c>
    </row>
    <row r="442" spans="1:26" x14ac:dyDescent="0.25">
      <c r="C442" s="2">
        <f>D442+E442+F442</f>
        <v>169402218</v>
      </c>
      <c r="D442" s="2">
        <f>D439+H439+L439</f>
        <v>49754225</v>
      </c>
      <c r="E442" s="2">
        <f t="shared" ref="E442:F442" si="179">E439+I439+M439</f>
        <v>117537407</v>
      </c>
      <c r="F442" s="2">
        <f t="shared" si="179"/>
        <v>2110586</v>
      </c>
    </row>
    <row r="446" spans="1:26" x14ac:dyDescent="0.25">
      <c r="C446" s="2">
        <v>0</v>
      </c>
      <c r="D446" s="2">
        <v>0</v>
      </c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0</v>
      </c>
      <c r="M446" s="2">
        <v>0</v>
      </c>
      <c r="N446" s="2">
        <v>0</v>
      </c>
      <c r="O446" s="2">
        <v>0</v>
      </c>
    </row>
  </sheetData>
  <mergeCells count="131">
    <mergeCell ref="A417:A419"/>
    <mergeCell ref="B417:B419"/>
    <mergeCell ref="C417:C419"/>
    <mergeCell ref="D417:O417"/>
    <mergeCell ref="D418:G418"/>
    <mergeCell ref="H418:K418"/>
    <mergeCell ref="L418:O418"/>
    <mergeCell ref="A391:O391"/>
    <mergeCell ref="A392:A394"/>
    <mergeCell ref="B392:B394"/>
    <mergeCell ref="C392:C394"/>
    <mergeCell ref="D392:O392"/>
    <mergeCell ref="D393:G393"/>
    <mergeCell ref="H393:K393"/>
    <mergeCell ref="L393:O393"/>
    <mergeCell ref="A367:A369"/>
    <mergeCell ref="B367:B369"/>
    <mergeCell ref="C367:C369"/>
    <mergeCell ref="D367:O367"/>
    <mergeCell ref="D368:G368"/>
    <mergeCell ref="H368:K368"/>
    <mergeCell ref="L368:O368"/>
    <mergeCell ref="A342:O342"/>
    <mergeCell ref="A343:A345"/>
    <mergeCell ref="B343:B345"/>
    <mergeCell ref="C343:C345"/>
    <mergeCell ref="D343:O343"/>
    <mergeCell ref="D344:G344"/>
    <mergeCell ref="H344:K344"/>
    <mergeCell ref="L344:O344"/>
    <mergeCell ref="A318:A320"/>
    <mergeCell ref="B318:B320"/>
    <mergeCell ref="C318:C320"/>
    <mergeCell ref="D318:O318"/>
    <mergeCell ref="D319:G319"/>
    <mergeCell ref="H319:K319"/>
    <mergeCell ref="L319:O319"/>
    <mergeCell ref="A293:O293"/>
    <mergeCell ref="A294:A296"/>
    <mergeCell ref="B294:B296"/>
    <mergeCell ref="C294:C296"/>
    <mergeCell ref="D294:O294"/>
    <mergeCell ref="D295:G295"/>
    <mergeCell ref="H295:K295"/>
    <mergeCell ref="L295:O295"/>
    <mergeCell ref="A269:A271"/>
    <mergeCell ref="B269:B271"/>
    <mergeCell ref="C269:C271"/>
    <mergeCell ref="D269:O269"/>
    <mergeCell ref="D270:G270"/>
    <mergeCell ref="H270:K270"/>
    <mergeCell ref="L270:O270"/>
    <mergeCell ref="A244:O244"/>
    <mergeCell ref="A245:A247"/>
    <mergeCell ref="B245:B247"/>
    <mergeCell ref="C245:C247"/>
    <mergeCell ref="D245:O245"/>
    <mergeCell ref="D246:G246"/>
    <mergeCell ref="H246:K246"/>
    <mergeCell ref="L246:O246"/>
    <mergeCell ref="A220:A222"/>
    <mergeCell ref="B220:B222"/>
    <mergeCell ref="C220:C222"/>
    <mergeCell ref="D220:O220"/>
    <mergeCell ref="D221:G221"/>
    <mergeCell ref="H221:K221"/>
    <mergeCell ref="L221:O221"/>
    <mergeCell ref="A196:A198"/>
    <mergeCell ref="B196:B198"/>
    <mergeCell ref="C196:C198"/>
    <mergeCell ref="D196:O196"/>
    <mergeCell ref="D197:G197"/>
    <mergeCell ref="H197:K197"/>
    <mergeCell ref="L197:O197"/>
    <mergeCell ref="A172:A174"/>
    <mergeCell ref="B172:B174"/>
    <mergeCell ref="C172:C174"/>
    <mergeCell ref="D172:O172"/>
    <mergeCell ref="D173:G173"/>
    <mergeCell ref="H173:K173"/>
    <mergeCell ref="L173:O173"/>
    <mergeCell ref="A148:A150"/>
    <mergeCell ref="B148:B150"/>
    <mergeCell ref="C148:C150"/>
    <mergeCell ref="D148:O148"/>
    <mergeCell ref="D149:G149"/>
    <mergeCell ref="H149:K149"/>
    <mergeCell ref="L149:O149"/>
    <mergeCell ref="A124:A126"/>
    <mergeCell ref="B124:B126"/>
    <mergeCell ref="C124:C126"/>
    <mergeCell ref="D124:O124"/>
    <mergeCell ref="D125:G125"/>
    <mergeCell ref="H125:K125"/>
    <mergeCell ref="L125:O125"/>
    <mergeCell ref="A100:A102"/>
    <mergeCell ref="B100:B102"/>
    <mergeCell ref="C100:C102"/>
    <mergeCell ref="D100:O100"/>
    <mergeCell ref="D101:G101"/>
    <mergeCell ref="H101:K101"/>
    <mergeCell ref="L101:O101"/>
    <mergeCell ref="A76:A78"/>
    <mergeCell ref="B76:B78"/>
    <mergeCell ref="C76:C78"/>
    <mergeCell ref="D76:O76"/>
    <mergeCell ref="D77:G77"/>
    <mergeCell ref="H77:K77"/>
    <mergeCell ref="L77:O77"/>
    <mergeCell ref="A52:A54"/>
    <mergeCell ref="B52:B54"/>
    <mergeCell ref="C52:C54"/>
    <mergeCell ref="D52:O52"/>
    <mergeCell ref="D53:G53"/>
    <mergeCell ref="H53:K53"/>
    <mergeCell ref="L53:O53"/>
    <mergeCell ref="A28:A30"/>
    <mergeCell ref="B28:B30"/>
    <mergeCell ref="C28:C30"/>
    <mergeCell ref="D28:O28"/>
    <mergeCell ref="D29:G29"/>
    <mergeCell ref="H29:K29"/>
    <mergeCell ref="L29:O29"/>
    <mergeCell ref="A1:O1"/>
    <mergeCell ref="A3:A5"/>
    <mergeCell ref="B3:B5"/>
    <mergeCell ref="C3:C5"/>
    <mergeCell ref="D3:O3"/>
    <mergeCell ref="D4:G4"/>
    <mergeCell ref="H4:K4"/>
    <mergeCell ref="L4:O4"/>
  </mergeCells>
  <pageMargins left="0.16" right="0.16" top="0.36" bottom="0.17" header="0.19" footer="0.16"/>
  <pageSetup paperSize="9" scale="12" orientation="landscape" horizont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40"/>
  <sheetViews>
    <sheetView zoomScale="90" zoomScaleNormal="90" workbookViewId="0">
      <selection activeCell="C12" sqref="C12"/>
    </sheetView>
  </sheetViews>
  <sheetFormatPr defaultRowHeight="12.75" x14ac:dyDescent="0.2"/>
  <cols>
    <col min="1" max="1" width="21.85546875" style="6" customWidth="1"/>
    <col min="2" max="2" width="11.140625" style="6" customWidth="1"/>
    <col min="3" max="3" width="11.28515625" style="6" customWidth="1"/>
    <col min="4" max="4" width="9.140625" style="6" customWidth="1"/>
    <col min="5" max="5" width="10.5703125" style="6" customWidth="1"/>
    <col min="6" max="6" width="13.7109375" style="6" customWidth="1"/>
    <col min="7" max="7" width="12.140625" style="6" customWidth="1"/>
    <col min="8" max="8" width="11.7109375" style="6" customWidth="1"/>
    <col min="9" max="9" width="12.28515625" style="6" customWidth="1"/>
    <col min="10" max="10" width="12.140625" style="6" customWidth="1"/>
    <col min="11" max="11" width="11.85546875" style="6" customWidth="1"/>
    <col min="12" max="12" width="13" style="6" customWidth="1"/>
    <col min="13" max="13" width="12.140625" style="6" customWidth="1"/>
    <col min="14" max="14" width="13.7109375" style="6" customWidth="1"/>
    <col min="15" max="15" width="9.85546875" style="6" customWidth="1"/>
    <col min="16" max="16" width="10.28515625" style="6" customWidth="1"/>
    <col min="17" max="17" width="11.42578125" style="6" customWidth="1"/>
    <col min="18" max="18" width="10.7109375" style="6" customWidth="1"/>
    <col min="19" max="19" width="11.7109375" style="6" customWidth="1"/>
    <col min="20" max="20" width="12.28515625" style="6" customWidth="1"/>
    <col min="21" max="22" width="14" style="6" customWidth="1"/>
    <col min="23" max="23" width="14.28515625" style="6" customWidth="1"/>
    <col min="24" max="24" width="13.5703125" style="6" customWidth="1"/>
    <col min="25" max="25" width="14.140625" style="6" customWidth="1"/>
    <col min="26" max="26" width="13.7109375" style="6" customWidth="1"/>
    <col min="27" max="28" width="11.7109375" style="6" customWidth="1"/>
    <col min="29" max="29" width="12.28515625" style="6" customWidth="1"/>
    <col min="30" max="30" width="13.28515625" style="6" customWidth="1"/>
    <col min="31" max="32" width="12.28515625" style="6" customWidth="1"/>
    <col min="33" max="33" width="11.5703125" style="6" customWidth="1"/>
    <col min="34" max="34" width="12.140625" style="6" customWidth="1"/>
    <col min="35" max="35" width="11" style="6" customWidth="1"/>
    <col min="36" max="40" width="13.140625" style="6" customWidth="1"/>
    <col min="41" max="45" width="13.28515625" style="6" customWidth="1"/>
    <col min="46" max="48" width="11.7109375" style="6" customWidth="1"/>
    <col min="49" max="49" width="11" style="6" customWidth="1"/>
    <col min="50" max="50" width="12.5703125" style="6" customWidth="1"/>
    <col min="51" max="51" width="12.28515625" style="6" customWidth="1"/>
    <col min="52" max="52" width="13.28515625" style="6" customWidth="1"/>
    <col min="53" max="53" width="13" style="6" customWidth="1"/>
    <col min="54" max="54" width="13.42578125" style="6" customWidth="1"/>
    <col min="55" max="55" width="13" style="6" customWidth="1"/>
    <col min="56" max="56" width="14" style="6" customWidth="1"/>
    <col min="57" max="57" width="13.28515625" style="6" customWidth="1"/>
    <col min="58" max="59" width="11.85546875" style="6" customWidth="1"/>
    <col min="60" max="60" width="12.85546875" style="6" customWidth="1"/>
    <col min="61" max="64" width="15.5703125" style="6" customWidth="1"/>
    <col min="65" max="67" width="12.28515625" style="6" customWidth="1"/>
    <col min="68" max="68" width="15.85546875" style="6" customWidth="1"/>
    <col min="69" max="72" width="14.85546875" style="6" customWidth="1"/>
    <col min="73" max="76" width="13.140625" style="6" customWidth="1"/>
    <col min="77" max="80" width="13.7109375" style="6" customWidth="1"/>
    <col min="81" max="83" width="12.140625" style="6" customWidth="1"/>
    <col min="84" max="84" width="14.140625" style="6" customWidth="1"/>
    <col min="85" max="88" width="13.28515625" style="6" customWidth="1"/>
    <col min="89" max="92" width="13" style="6" customWidth="1"/>
    <col min="93" max="96" width="13.85546875" style="6" customWidth="1"/>
    <col min="97" max="97" width="11.28515625" style="6" customWidth="1"/>
    <col min="98" max="98" width="13.7109375" style="6" customWidth="1"/>
    <col min="99" max="99" width="13.28515625" style="6" customWidth="1"/>
    <col min="100" max="100" width="13.7109375" style="6" customWidth="1"/>
    <col min="101" max="104" width="14.5703125" style="6" customWidth="1"/>
    <col min="105" max="108" width="15" style="6" customWidth="1"/>
    <col min="109" max="112" width="15.42578125" style="6" customWidth="1"/>
    <col min="113" max="113" width="13.5703125" style="6" customWidth="1"/>
    <col min="114" max="115" width="13.85546875" style="6" customWidth="1"/>
    <col min="116" max="116" width="14.85546875" style="6" customWidth="1"/>
    <col min="117" max="117" width="16.28515625" style="6" customWidth="1"/>
    <col min="118" max="118" width="9.140625" style="6"/>
    <col min="119" max="119" width="14.7109375" style="6" customWidth="1"/>
    <col min="120" max="120" width="11.28515625" style="6" customWidth="1"/>
    <col min="121" max="121" width="9.140625" style="6" customWidth="1"/>
    <col min="122" max="122" width="15" style="6" customWidth="1"/>
    <col min="123" max="124" width="9.140625" style="6" customWidth="1"/>
    <col min="125" max="129" width="9.140625" style="6"/>
    <col min="130" max="130" width="14" style="6" customWidth="1"/>
    <col min="131" max="131" width="15.28515625" style="6" customWidth="1"/>
    <col min="132" max="16384" width="9.140625" style="6"/>
  </cols>
  <sheetData>
    <row r="1" spans="1:26" ht="16.5" customHeight="1" x14ac:dyDescent="0.2">
      <c r="A1" s="13" t="s">
        <v>92</v>
      </c>
    </row>
    <row r="3" spans="1:26" s="9" customFormat="1" ht="48.75" customHeight="1" thickBot="1" x14ac:dyDescent="0.3">
      <c r="A3" s="162" t="s">
        <v>39</v>
      </c>
      <c r="B3" s="163" t="s">
        <v>40</v>
      </c>
      <c r="C3" s="164"/>
      <c r="D3" s="164"/>
      <c r="E3" s="164"/>
      <c r="F3" s="165" t="s">
        <v>93</v>
      </c>
    </row>
    <row r="4" spans="1:26" s="9" customFormat="1" ht="13.5" thickBot="1" x14ac:dyDescent="0.3">
      <c r="A4" s="162"/>
      <c r="B4" s="163" t="s">
        <v>41</v>
      </c>
      <c r="C4" s="163" t="s">
        <v>61</v>
      </c>
      <c r="D4" s="163" t="s">
        <v>42</v>
      </c>
      <c r="E4" s="163" t="s">
        <v>43</v>
      </c>
      <c r="F4" s="166"/>
      <c r="G4" s="169" t="s">
        <v>55</v>
      </c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1"/>
      <c r="X4" s="9" t="s">
        <v>44</v>
      </c>
      <c r="Y4" s="9" t="s">
        <v>62</v>
      </c>
      <c r="Z4" s="9" t="s">
        <v>97</v>
      </c>
    </row>
    <row r="5" spans="1:26" s="9" customFormat="1" x14ac:dyDescent="0.25">
      <c r="A5" s="162"/>
      <c r="B5" s="164"/>
      <c r="C5" s="164"/>
      <c r="D5" s="164"/>
      <c r="E5" s="164"/>
      <c r="F5" s="166"/>
      <c r="G5" s="175" t="s">
        <v>44</v>
      </c>
      <c r="H5" s="176"/>
      <c r="I5" s="176"/>
      <c r="J5" s="177"/>
      <c r="K5" s="167" t="s">
        <v>62</v>
      </c>
      <c r="L5" s="168"/>
      <c r="M5" s="168"/>
      <c r="N5" s="168"/>
      <c r="O5" s="167" t="s">
        <v>63</v>
      </c>
      <c r="P5" s="168"/>
      <c r="Q5" s="168"/>
      <c r="R5" s="168"/>
      <c r="S5" s="172" t="s">
        <v>43</v>
      </c>
      <c r="T5" s="173"/>
      <c r="U5" s="173"/>
      <c r="V5" s="173"/>
    </row>
    <row r="6" spans="1:26" s="9" customFormat="1" ht="19.5" customHeight="1" x14ac:dyDescent="0.25">
      <c r="A6" s="26"/>
      <c r="B6" s="8"/>
      <c r="C6" s="8"/>
      <c r="D6" s="8"/>
      <c r="E6" s="8"/>
      <c r="F6" s="28"/>
      <c r="G6" s="21" t="s">
        <v>41</v>
      </c>
      <c r="H6" s="12" t="s">
        <v>65</v>
      </c>
      <c r="I6" s="12" t="s">
        <v>42</v>
      </c>
      <c r="J6" s="19" t="s">
        <v>0</v>
      </c>
      <c r="K6" s="21" t="s">
        <v>41</v>
      </c>
      <c r="L6" s="12" t="s">
        <v>65</v>
      </c>
      <c r="M6" s="12" t="s">
        <v>42</v>
      </c>
      <c r="N6" s="19" t="s">
        <v>0</v>
      </c>
      <c r="O6" s="21" t="s">
        <v>41</v>
      </c>
      <c r="P6" s="12" t="s">
        <v>65</v>
      </c>
      <c r="Q6" s="12" t="s">
        <v>42</v>
      </c>
      <c r="R6" s="19" t="s">
        <v>0</v>
      </c>
      <c r="S6" s="21" t="s">
        <v>41</v>
      </c>
      <c r="T6" s="12" t="s">
        <v>65</v>
      </c>
      <c r="U6" s="12" t="s">
        <v>42</v>
      </c>
      <c r="V6" s="19" t="s">
        <v>0</v>
      </c>
    </row>
    <row r="7" spans="1:26" ht="30" customHeight="1" x14ac:dyDescent="0.2">
      <c r="A7" s="16" t="s">
        <v>45</v>
      </c>
      <c r="B7" s="27">
        <v>0.18604999999999999</v>
      </c>
      <c r="C7" s="27">
        <v>0.15603</v>
      </c>
      <c r="D7" s="27">
        <v>0.65791999999999995</v>
      </c>
      <c r="E7" s="27">
        <f>B7+C7+D7</f>
        <v>1</v>
      </c>
      <c r="F7" s="29">
        <v>3002093</v>
      </c>
      <c r="G7" s="32">
        <f t="shared" ref="G7:G15" si="0">J7*B7</f>
        <v>11237.42</v>
      </c>
      <c r="H7" s="31">
        <f t="shared" ref="H7:H15" si="1">J7*C7</f>
        <v>9424.2119999999995</v>
      </c>
      <c r="I7" s="31">
        <f t="shared" ref="I7:I15" si="2">J7*D7</f>
        <v>39738.367999999995</v>
      </c>
      <c r="J7" s="34">
        <v>60400</v>
      </c>
      <c r="K7" s="43">
        <f t="shared" ref="K7:K15" si="3">N7*B7</f>
        <v>100477.79089999999</v>
      </c>
      <c r="L7" s="15">
        <f t="shared" ref="L7:L15" si="4">N7*C7</f>
        <v>84265.249739999999</v>
      </c>
      <c r="M7" s="15">
        <f t="shared" ref="M7:M15" si="5">N7*D7</f>
        <v>355314.95935999998</v>
      </c>
      <c r="N7" s="41">
        <v>540058</v>
      </c>
      <c r="O7" s="43">
        <f t="shared" ref="O7:O15" si="6">R7*B7</f>
        <v>0</v>
      </c>
      <c r="P7" s="15">
        <f t="shared" ref="P7:P15" si="7">R7*C7</f>
        <v>0</v>
      </c>
      <c r="Q7" s="15">
        <f t="shared" ref="Q7:Q15" si="8">R7*D7</f>
        <v>0</v>
      </c>
      <c r="R7" s="41">
        <v>0</v>
      </c>
      <c r="S7" s="43">
        <f>G7+K7+O7</f>
        <v>111715.21089999999</v>
      </c>
      <c r="T7" s="15">
        <f>H7+L7+P7</f>
        <v>93689.461739999999</v>
      </c>
      <c r="U7" s="15">
        <f>I7+M7+Q7</f>
        <v>395053.32736</v>
      </c>
      <c r="V7" s="37">
        <f>J7+N7+R7</f>
        <v>600458</v>
      </c>
      <c r="X7" s="84">
        <f>J7</f>
        <v>60400</v>
      </c>
      <c r="Y7" s="84">
        <f>N7</f>
        <v>540058</v>
      </c>
      <c r="Z7" s="84">
        <f>R7</f>
        <v>0</v>
      </c>
    </row>
    <row r="8" spans="1:26" ht="37.5" customHeight="1" x14ac:dyDescent="0.2">
      <c r="A8" s="16" t="s">
        <v>47</v>
      </c>
      <c r="B8" s="27">
        <v>0.10317</v>
      </c>
      <c r="C8" s="27">
        <v>5.6680000000000001E-2</v>
      </c>
      <c r="D8" s="27">
        <v>0.84014999999999995</v>
      </c>
      <c r="E8" s="27">
        <f t="shared" ref="E8:E15" si="9">B8+C8+D8</f>
        <v>1</v>
      </c>
      <c r="F8" s="29">
        <v>288813</v>
      </c>
      <c r="G8" s="32">
        <f t="shared" si="0"/>
        <v>0</v>
      </c>
      <c r="H8" s="31">
        <f t="shared" si="1"/>
        <v>0</v>
      </c>
      <c r="I8" s="31">
        <f t="shared" si="2"/>
        <v>0</v>
      </c>
      <c r="J8" s="34">
        <v>0</v>
      </c>
      <c r="K8" s="43">
        <f t="shared" si="3"/>
        <v>3060.1253699999997</v>
      </c>
      <c r="L8" s="15">
        <f t="shared" si="4"/>
        <v>1681.1854800000001</v>
      </c>
      <c r="M8" s="15">
        <f t="shared" si="5"/>
        <v>24919.689149999998</v>
      </c>
      <c r="N8" s="41">
        <v>29661</v>
      </c>
      <c r="O8" s="43">
        <f t="shared" si="6"/>
        <v>0</v>
      </c>
      <c r="P8" s="15">
        <f t="shared" si="7"/>
        <v>0</v>
      </c>
      <c r="Q8" s="15">
        <f t="shared" si="8"/>
        <v>0</v>
      </c>
      <c r="R8" s="41"/>
      <c r="S8" s="43">
        <f t="shared" ref="S8:S15" si="10">G8+K8+O8</f>
        <v>3060.1253699999997</v>
      </c>
      <c r="T8" s="15">
        <f t="shared" ref="T8:T15" si="11">H8+L8+P8</f>
        <v>1681.1854800000001</v>
      </c>
      <c r="U8" s="15">
        <f t="shared" ref="U8:U15" si="12">I8+M8+Q8</f>
        <v>24919.689149999998</v>
      </c>
      <c r="V8" s="37">
        <f t="shared" ref="V8:V15" si="13">J8+N8+R8</f>
        <v>29661</v>
      </c>
      <c r="X8" s="84">
        <f t="shared" ref="X8:X16" si="14">J8</f>
        <v>0</v>
      </c>
      <c r="Y8" s="84">
        <f t="shared" ref="Y8:Y16" si="15">N8</f>
        <v>29661</v>
      </c>
      <c r="Z8" s="84">
        <f t="shared" ref="Z8:Z16" si="16">R8</f>
        <v>0</v>
      </c>
    </row>
    <row r="9" spans="1:26" ht="19.5" customHeight="1" x14ac:dyDescent="0.2">
      <c r="A9" s="16" t="s">
        <v>48</v>
      </c>
      <c r="B9" s="27">
        <v>0.19394</v>
      </c>
      <c r="C9" s="27">
        <v>0.12784999999999999</v>
      </c>
      <c r="D9" s="27">
        <v>0.67820999999999998</v>
      </c>
      <c r="E9" s="27">
        <f t="shared" si="9"/>
        <v>1</v>
      </c>
      <c r="F9" s="29">
        <v>229921</v>
      </c>
      <c r="G9" s="32">
        <f t="shared" si="0"/>
        <v>1891.30288</v>
      </c>
      <c r="H9" s="31">
        <f t="shared" si="1"/>
        <v>1246.7931999999998</v>
      </c>
      <c r="I9" s="31">
        <f t="shared" si="2"/>
        <v>6613.9039199999997</v>
      </c>
      <c r="J9" s="34">
        <v>9752</v>
      </c>
      <c r="K9" s="43">
        <f t="shared" si="3"/>
        <v>2973.6820200000002</v>
      </c>
      <c r="L9" s="15">
        <f t="shared" si="4"/>
        <v>1960.3240499999999</v>
      </c>
      <c r="M9" s="15">
        <f t="shared" si="5"/>
        <v>10398.993930000001</v>
      </c>
      <c r="N9" s="41">
        <v>15333</v>
      </c>
      <c r="O9" s="43">
        <f t="shared" si="6"/>
        <v>1265.2645600000001</v>
      </c>
      <c r="P9" s="15">
        <f t="shared" si="7"/>
        <v>834.09339999999997</v>
      </c>
      <c r="Q9" s="15">
        <f t="shared" si="8"/>
        <v>4424.6420399999997</v>
      </c>
      <c r="R9" s="41">
        <v>6524</v>
      </c>
      <c r="S9" s="43">
        <f t="shared" si="10"/>
        <v>6130.2494600000009</v>
      </c>
      <c r="T9" s="15">
        <f t="shared" si="11"/>
        <v>4041.21065</v>
      </c>
      <c r="U9" s="15">
        <f t="shared" si="12"/>
        <v>21437.53989</v>
      </c>
      <c r="V9" s="37">
        <f t="shared" si="13"/>
        <v>31609</v>
      </c>
      <c r="X9" s="84">
        <f t="shared" si="14"/>
        <v>9752</v>
      </c>
      <c r="Y9" s="84">
        <f t="shared" si="15"/>
        <v>15333</v>
      </c>
      <c r="Z9" s="84">
        <f t="shared" si="16"/>
        <v>6524</v>
      </c>
    </row>
    <row r="10" spans="1:26" ht="21.75" customHeight="1" x14ac:dyDescent="0.2">
      <c r="A10" s="16" t="s">
        <v>46</v>
      </c>
      <c r="B10" s="27">
        <v>0.14801</v>
      </c>
      <c r="C10" s="27">
        <v>5.1470000000000002E-2</v>
      </c>
      <c r="D10" s="27">
        <v>0.80052000000000001</v>
      </c>
      <c r="E10" s="27">
        <f t="shared" si="9"/>
        <v>1</v>
      </c>
      <c r="F10" s="29">
        <v>39439</v>
      </c>
      <c r="G10" s="32">
        <f t="shared" si="0"/>
        <v>397.55486000000002</v>
      </c>
      <c r="H10" s="31">
        <f t="shared" si="1"/>
        <v>138.24842000000001</v>
      </c>
      <c r="I10" s="31">
        <f t="shared" si="2"/>
        <v>2150.1967199999999</v>
      </c>
      <c r="J10" s="34">
        <v>2686</v>
      </c>
      <c r="K10" s="43">
        <f t="shared" si="3"/>
        <v>520.10713999999996</v>
      </c>
      <c r="L10" s="15">
        <f t="shared" si="4"/>
        <v>180.86557999999999</v>
      </c>
      <c r="M10" s="15">
        <f t="shared" si="5"/>
        <v>2813.0272800000002</v>
      </c>
      <c r="N10" s="41">
        <v>3514</v>
      </c>
      <c r="O10" s="43">
        <f t="shared" si="6"/>
        <v>24.865680000000001</v>
      </c>
      <c r="P10" s="15">
        <f t="shared" si="7"/>
        <v>8.64696</v>
      </c>
      <c r="Q10" s="15">
        <f t="shared" si="8"/>
        <v>134.48736</v>
      </c>
      <c r="R10" s="41">
        <v>168</v>
      </c>
      <c r="S10" s="43">
        <f t="shared" si="10"/>
        <v>942.52768000000003</v>
      </c>
      <c r="T10" s="15">
        <f t="shared" si="11"/>
        <v>327.76096000000001</v>
      </c>
      <c r="U10" s="15">
        <f t="shared" si="12"/>
        <v>5097.7113600000002</v>
      </c>
      <c r="V10" s="37">
        <f t="shared" si="13"/>
        <v>6368</v>
      </c>
      <c r="X10" s="84">
        <f t="shared" si="14"/>
        <v>2686</v>
      </c>
      <c r="Y10" s="84">
        <f t="shared" si="15"/>
        <v>3514</v>
      </c>
      <c r="Z10" s="84">
        <f t="shared" si="16"/>
        <v>168</v>
      </c>
    </row>
    <row r="11" spans="1:26" ht="20.25" customHeight="1" x14ac:dyDescent="0.2">
      <c r="A11" s="16" t="s">
        <v>51</v>
      </c>
      <c r="B11" s="27">
        <v>6.5399999999999998E-3</v>
      </c>
      <c r="C11" s="27">
        <v>0.24085999999999999</v>
      </c>
      <c r="D11" s="27">
        <v>0.75260000000000005</v>
      </c>
      <c r="E11" s="27">
        <f t="shared" si="9"/>
        <v>1</v>
      </c>
      <c r="F11" s="29">
        <v>1864553</v>
      </c>
      <c r="G11" s="32">
        <f t="shared" si="0"/>
        <v>404.02157999999997</v>
      </c>
      <c r="H11" s="31">
        <f t="shared" si="1"/>
        <v>14879.60822</v>
      </c>
      <c r="I11" s="31">
        <f t="shared" si="2"/>
        <v>46493.370200000005</v>
      </c>
      <c r="J11" s="34">
        <v>61777</v>
      </c>
      <c r="K11" s="43">
        <f t="shared" si="3"/>
        <v>1138.3654799999999</v>
      </c>
      <c r="L11" s="15">
        <f t="shared" si="4"/>
        <v>41924.573319999996</v>
      </c>
      <c r="M11" s="15">
        <f t="shared" si="5"/>
        <v>130999.06120000001</v>
      </c>
      <c r="N11" s="41">
        <v>174062</v>
      </c>
      <c r="O11" s="43">
        <f t="shared" si="6"/>
        <v>0</v>
      </c>
      <c r="P11" s="15">
        <f t="shared" si="7"/>
        <v>0</v>
      </c>
      <c r="Q11" s="15">
        <f t="shared" si="8"/>
        <v>0</v>
      </c>
      <c r="R11" s="41">
        <v>0</v>
      </c>
      <c r="S11" s="43">
        <f t="shared" si="10"/>
        <v>1542.38706</v>
      </c>
      <c r="T11" s="15">
        <f t="shared" si="11"/>
        <v>56804.181539999998</v>
      </c>
      <c r="U11" s="15">
        <f t="shared" si="12"/>
        <v>177492.4314</v>
      </c>
      <c r="V11" s="37">
        <f t="shared" si="13"/>
        <v>235839</v>
      </c>
      <c r="X11" s="84">
        <f t="shared" si="14"/>
        <v>61777</v>
      </c>
      <c r="Y11" s="84">
        <f t="shared" si="15"/>
        <v>174062</v>
      </c>
      <c r="Z11" s="84">
        <f t="shared" si="16"/>
        <v>0</v>
      </c>
    </row>
    <row r="12" spans="1:26" ht="20.25" customHeight="1" x14ac:dyDescent="0.2">
      <c r="A12" s="16" t="s">
        <v>52</v>
      </c>
      <c r="B12" s="27">
        <v>1.5E-3</v>
      </c>
      <c r="C12" s="27">
        <v>6.9699999999999996E-3</v>
      </c>
      <c r="D12" s="27">
        <v>0.99153000000000002</v>
      </c>
      <c r="E12" s="27">
        <f t="shared" si="9"/>
        <v>1</v>
      </c>
      <c r="F12" s="29">
        <v>3844209</v>
      </c>
      <c r="G12" s="32">
        <f t="shared" si="0"/>
        <v>314.29950000000002</v>
      </c>
      <c r="H12" s="31">
        <f t="shared" si="1"/>
        <v>1460.4450099999999</v>
      </c>
      <c r="I12" s="31">
        <f t="shared" si="2"/>
        <v>207758.25549000001</v>
      </c>
      <c r="J12" s="34">
        <v>209533</v>
      </c>
      <c r="K12" s="43">
        <f t="shared" si="3"/>
        <v>286.85849999999999</v>
      </c>
      <c r="L12" s="15">
        <f t="shared" si="4"/>
        <v>1332.9358299999999</v>
      </c>
      <c r="M12" s="15">
        <f t="shared" si="5"/>
        <v>189619.20567</v>
      </c>
      <c r="N12" s="41">
        <v>191239</v>
      </c>
      <c r="O12" s="43">
        <f t="shared" si="6"/>
        <v>5.3505000000000003</v>
      </c>
      <c r="P12" s="15">
        <f t="shared" si="7"/>
        <v>24.861989999999999</v>
      </c>
      <c r="Q12" s="15">
        <f t="shared" si="8"/>
        <v>3536.7875100000001</v>
      </c>
      <c r="R12" s="41">
        <v>3567</v>
      </c>
      <c r="S12" s="43">
        <f t="shared" si="10"/>
        <v>606.50850000000003</v>
      </c>
      <c r="T12" s="15">
        <f t="shared" si="11"/>
        <v>2818.2428299999997</v>
      </c>
      <c r="U12" s="15">
        <f t="shared" si="12"/>
        <v>400914.24867</v>
      </c>
      <c r="V12" s="37">
        <f t="shared" si="13"/>
        <v>404339</v>
      </c>
      <c r="X12" s="84">
        <f t="shared" si="14"/>
        <v>209533</v>
      </c>
      <c r="Y12" s="84">
        <f t="shared" si="15"/>
        <v>191239</v>
      </c>
      <c r="Z12" s="84">
        <f t="shared" si="16"/>
        <v>3567</v>
      </c>
    </row>
    <row r="13" spans="1:26" ht="22.5" customHeight="1" x14ac:dyDescent="0.2">
      <c r="A13" s="16" t="s">
        <v>49</v>
      </c>
      <c r="B13" s="27">
        <v>8.3899999999999999E-3</v>
      </c>
      <c r="C13" s="27">
        <v>0.13835</v>
      </c>
      <c r="D13" s="27">
        <v>0.85326000000000002</v>
      </c>
      <c r="E13" s="27">
        <f t="shared" si="9"/>
        <v>1</v>
      </c>
      <c r="F13" s="29">
        <v>4411828</v>
      </c>
      <c r="G13" s="32">
        <f t="shared" si="0"/>
        <v>1125.9463900000001</v>
      </c>
      <c r="H13" s="31">
        <f t="shared" si="1"/>
        <v>18566.708350000001</v>
      </c>
      <c r="I13" s="31">
        <f t="shared" si="2"/>
        <v>114508.34526</v>
      </c>
      <c r="J13" s="34">
        <v>134201</v>
      </c>
      <c r="K13" s="43">
        <f t="shared" si="3"/>
        <v>2663.3215999999998</v>
      </c>
      <c r="L13" s="15">
        <f t="shared" si="4"/>
        <v>43917.824000000001</v>
      </c>
      <c r="M13" s="15">
        <f t="shared" si="5"/>
        <v>270858.85440000001</v>
      </c>
      <c r="N13" s="41">
        <v>317440</v>
      </c>
      <c r="O13" s="43">
        <f t="shared" si="6"/>
        <v>132.28513000000001</v>
      </c>
      <c r="P13" s="15">
        <f t="shared" si="7"/>
        <v>2181.36445</v>
      </c>
      <c r="Q13" s="15">
        <f t="shared" si="8"/>
        <v>13453.350420000001</v>
      </c>
      <c r="R13" s="41">
        <v>15767</v>
      </c>
      <c r="S13" s="43">
        <f t="shared" si="10"/>
        <v>3921.55312</v>
      </c>
      <c r="T13" s="15">
        <f t="shared" si="11"/>
        <v>64665.896800000002</v>
      </c>
      <c r="U13" s="15">
        <f t="shared" si="12"/>
        <v>398820.55008000002</v>
      </c>
      <c r="V13" s="37">
        <f t="shared" si="13"/>
        <v>467408</v>
      </c>
      <c r="X13" s="84">
        <f t="shared" si="14"/>
        <v>134201</v>
      </c>
      <c r="Y13" s="84">
        <f t="shared" si="15"/>
        <v>317440</v>
      </c>
      <c r="Z13" s="84">
        <f t="shared" si="16"/>
        <v>15767</v>
      </c>
    </row>
    <row r="14" spans="1:26" ht="21" customHeight="1" x14ac:dyDescent="0.2">
      <c r="A14" s="16" t="s">
        <v>50</v>
      </c>
      <c r="B14" s="27">
        <v>3.1269999999999999E-2</v>
      </c>
      <c r="C14" s="27">
        <v>5.3420000000000002E-2</v>
      </c>
      <c r="D14" s="27">
        <v>0.91530999999999996</v>
      </c>
      <c r="E14" s="27">
        <f t="shared" si="9"/>
        <v>1</v>
      </c>
      <c r="F14" s="29">
        <v>3999058</v>
      </c>
      <c r="G14" s="32">
        <f t="shared" si="0"/>
        <v>4997.72775</v>
      </c>
      <c r="H14" s="31">
        <f t="shared" si="1"/>
        <v>8537.8515000000007</v>
      </c>
      <c r="I14" s="31">
        <f t="shared" si="2"/>
        <v>146289.42074999999</v>
      </c>
      <c r="J14" s="34">
        <v>159825</v>
      </c>
      <c r="K14" s="43">
        <f t="shared" si="3"/>
        <v>8422.1367200000004</v>
      </c>
      <c r="L14" s="15">
        <f t="shared" si="4"/>
        <v>14387.929120000001</v>
      </c>
      <c r="M14" s="15">
        <f t="shared" si="5"/>
        <v>246525.93415999998</v>
      </c>
      <c r="N14" s="41">
        <v>269336</v>
      </c>
      <c r="O14" s="43">
        <f t="shared" si="6"/>
        <v>348.22271999999998</v>
      </c>
      <c r="P14" s="15">
        <f t="shared" si="7"/>
        <v>594.88512000000003</v>
      </c>
      <c r="Q14" s="15">
        <f t="shared" si="8"/>
        <v>10192.892159999999</v>
      </c>
      <c r="R14" s="41">
        <v>11136</v>
      </c>
      <c r="S14" s="43">
        <f t="shared" si="10"/>
        <v>13768.08719</v>
      </c>
      <c r="T14" s="15">
        <f t="shared" si="11"/>
        <v>23520.66574</v>
      </c>
      <c r="U14" s="15">
        <f t="shared" si="12"/>
        <v>403008.24706999998</v>
      </c>
      <c r="V14" s="37">
        <f t="shared" si="13"/>
        <v>440297</v>
      </c>
      <c r="X14" s="84">
        <f t="shared" si="14"/>
        <v>159825</v>
      </c>
      <c r="Y14" s="84">
        <f t="shared" si="15"/>
        <v>269336</v>
      </c>
      <c r="Z14" s="84">
        <f t="shared" si="16"/>
        <v>11136</v>
      </c>
    </row>
    <row r="15" spans="1:26" ht="20.25" customHeight="1" x14ac:dyDescent="0.2">
      <c r="A15" s="16" t="s">
        <v>53</v>
      </c>
      <c r="B15" s="27">
        <v>0.10236000000000001</v>
      </c>
      <c r="C15" s="27">
        <v>7.374E-2</v>
      </c>
      <c r="D15" s="27">
        <v>0.82389999999999997</v>
      </c>
      <c r="E15" s="27">
        <f t="shared" si="9"/>
        <v>1</v>
      </c>
      <c r="F15" s="29">
        <v>888919</v>
      </c>
      <c r="G15" s="32">
        <f t="shared" si="0"/>
        <v>8398.1262000000006</v>
      </c>
      <c r="H15" s="31">
        <f t="shared" si="1"/>
        <v>6049.9983000000002</v>
      </c>
      <c r="I15" s="31">
        <f t="shared" si="2"/>
        <v>67596.875499999995</v>
      </c>
      <c r="J15" s="34">
        <v>82045</v>
      </c>
      <c r="K15" s="43">
        <f t="shared" si="3"/>
        <v>4134.1156799999999</v>
      </c>
      <c r="L15" s="15">
        <f t="shared" si="4"/>
        <v>2978.2111199999999</v>
      </c>
      <c r="M15" s="15">
        <f t="shared" si="5"/>
        <v>33275.673199999997</v>
      </c>
      <c r="N15" s="41">
        <v>40388</v>
      </c>
      <c r="O15" s="43">
        <f t="shared" si="6"/>
        <v>388.14912000000004</v>
      </c>
      <c r="P15" s="15">
        <f t="shared" si="7"/>
        <v>279.62207999999998</v>
      </c>
      <c r="Q15" s="15">
        <f t="shared" si="8"/>
        <v>3124.2287999999999</v>
      </c>
      <c r="R15" s="41">
        <v>3792</v>
      </c>
      <c r="S15" s="43">
        <f t="shared" si="10"/>
        <v>12920.391000000001</v>
      </c>
      <c r="T15" s="15">
        <f t="shared" si="11"/>
        <v>9307.8314999999984</v>
      </c>
      <c r="U15" s="15">
        <f t="shared" si="12"/>
        <v>103996.77749999998</v>
      </c>
      <c r="V15" s="37">
        <f t="shared" si="13"/>
        <v>126225</v>
      </c>
      <c r="X15" s="84">
        <f t="shared" si="14"/>
        <v>82045</v>
      </c>
      <c r="Y15" s="84">
        <f t="shared" si="15"/>
        <v>40388</v>
      </c>
      <c r="Z15" s="84">
        <f t="shared" si="16"/>
        <v>3792</v>
      </c>
    </row>
    <row r="16" spans="1:26" s="18" customFormat="1" ht="21" customHeight="1" thickBot="1" x14ac:dyDescent="0.25">
      <c r="A16" s="10" t="s">
        <v>54</v>
      </c>
      <c r="B16" s="11"/>
      <c r="C16" s="11"/>
      <c r="D16" s="11"/>
      <c r="E16" s="11"/>
      <c r="F16" s="29">
        <f t="shared" ref="F16:V16" si="17">SUM(F7:F15)</f>
        <v>18568833</v>
      </c>
      <c r="G16" s="33">
        <f t="shared" si="17"/>
        <v>28766.399160000001</v>
      </c>
      <c r="H16" s="30">
        <f t="shared" si="17"/>
        <v>60303.864999999998</v>
      </c>
      <c r="I16" s="23">
        <f t="shared" si="17"/>
        <v>631148.73583999986</v>
      </c>
      <c r="J16" s="73">
        <f t="shared" si="17"/>
        <v>720219</v>
      </c>
      <c r="K16" s="33">
        <f t="shared" si="17"/>
        <v>123676.50340999998</v>
      </c>
      <c r="L16" s="30">
        <f t="shared" si="17"/>
        <v>192629.09823999996</v>
      </c>
      <c r="M16" s="23">
        <f t="shared" si="17"/>
        <v>1264725.3983500001</v>
      </c>
      <c r="N16" s="30">
        <f t="shared" si="17"/>
        <v>1581031</v>
      </c>
      <c r="O16" s="33">
        <f t="shared" si="17"/>
        <v>2164.13771</v>
      </c>
      <c r="P16" s="30">
        <f t="shared" si="17"/>
        <v>3923.4740000000002</v>
      </c>
      <c r="Q16" s="30">
        <f t="shared" si="17"/>
        <v>34866.388290000003</v>
      </c>
      <c r="R16" s="30">
        <f t="shared" si="17"/>
        <v>40954</v>
      </c>
      <c r="S16" s="33">
        <f t="shared" si="17"/>
        <v>154607.04027999999</v>
      </c>
      <c r="T16" s="30">
        <f t="shared" si="17"/>
        <v>256856.43724</v>
      </c>
      <c r="U16" s="30">
        <f t="shared" si="17"/>
        <v>1930740.5224800003</v>
      </c>
      <c r="V16" s="24">
        <f t="shared" si="17"/>
        <v>2342204</v>
      </c>
      <c r="X16" s="85">
        <f t="shared" si="14"/>
        <v>720219</v>
      </c>
      <c r="Y16" s="85">
        <f t="shared" si="15"/>
        <v>1581031</v>
      </c>
      <c r="Z16" s="85">
        <f t="shared" si="16"/>
        <v>40954</v>
      </c>
    </row>
    <row r="17" spans="1:26" x14ac:dyDescent="0.2">
      <c r="A17" s="7"/>
    </row>
    <row r="18" spans="1:26" x14ac:dyDescent="0.2">
      <c r="A18" s="7"/>
    </row>
    <row r="19" spans="1:26" x14ac:dyDescent="0.2">
      <c r="A19" s="7"/>
    </row>
    <row r="20" spans="1:26" x14ac:dyDescent="0.2">
      <c r="A20" s="13" t="s">
        <v>92</v>
      </c>
    </row>
    <row r="22" spans="1:26" ht="25.5" customHeight="1" thickBot="1" x14ac:dyDescent="0.25">
      <c r="A22" s="162" t="s">
        <v>39</v>
      </c>
      <c r="B22" s="163" t="s">
        <v>40</v>
      </c>
      <c r="C22" s="164"/>
      <c r="D22" s="164"/>
      <c r="E22" s="164"/>
      <c r="F22" s="165" t="s">
        <v>93</v>
      </c>
    </row>
    <row r="23" spans="1:26" ht="13.5" thickBot="1" x14ac:dyDescent="0.25">
      <c r="A23" s="162"/>
      <c r="B23" s="163" t="s">
        <v>41</v>
      </c>
      <c r="C23" s="163" t="s">
        <v>61</v>
      </c>
      <c r="D23" s="163" t="s">
        <v>42</v>
      </c>
      <c r="E23" s="163" t="s">
        <v>43</v>
      </c>
      <c r="F23" s="166"/>
      <c r="G23" s="169" t="s">
        <v>56</v>
      </c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1"/>
      <c r="X23" s="9" t="s">
        <v>44</v>
      </c>
      <c r="Y23" s="9" t="s">
        <v>62</v>
      </c>
      <c r="Z23" s="9" t="s">
        <v>97</v>
      </c>
    </row>
    <row r="24" spans="1:26" ht="21.75" customHeight="1" x14ac:dyDescent="0.2">
      <c r="A24" s="162"/>
      <c r="B24" s="164"/>
      <c r="C24" s="164"/>
      <c r="D24" s="164"/>
      <c r="E24" s="164"/>
      <c r="F24" s="166"/>
      <c r="G24" s="167" t="s">
        <v>44</v>
      </c>
      <c r="H24" s="168"/>
      <c r="I24" s="168"/>
      <c r="J24" s="168"/>
      <c r="K24" s="167" t="s">
        <v>62</v>
      </c>
      <c r="L24" s="168"/>
      <c r="M24" s="168"/>
      <c r="N24" s="168"/>
      <c r="O24" s="167" t="s">
        <v>63</v>
      </c>
      <c r="P24" s="168"/>
      <c r="Q24" s="168"/>
      <c r="R24" s="168"/>
      <c r="S24" s="172" t="s">
        <v>43</v>
      </c>
      <c r="T24" s="173"/>
      <c r="U24" s="173"/>
      <c r="V24" s="174"/>
      <c r="X24" s="9"/>
      <c r="Y24" s="9"/>
      <c r="Z24" s="9"/>
    </row>
    <row r="25" spans="1:26" ht="26.25" customHeight="1" x14ac:dyDescent="0.2">
      <c r="A25" s="26"/>
      <c r="B25" s="71"/>
      <c r="C25" s="71"/>
      <c r="D25" s="71"/>
      <c r="E25" s="71"/>
      <c r="F25" s="72"/>
      <c r="G25" s="21" t="s">
        <v>41</v>
      </c>
      <c r="H25" s="12" t="s">
        <v>65</v>
      </c>
      <c r="I25" s="12" t="s">
        <v>42</v>
      </c>
      <c r="J25" s="19" t="s">
        <v>0</v>
      </c>
      <c r="K25" s="21" t="s">
        <v>41</v>
      </c>
      <c r="L25" s="12" t="s">
        <v>65</v>
      </c>
      <c r="M25" s="12" t="s">
        <v>42</v>
      </c>
      <c r="N25" s="19" t="s">
        <v>0</v>
      </c>
      <c r="O25" s="21" t="s">
        <v>41</v>
      </c>
      <c r="P25" s="12" t="s">
        <v>65</v>
      </c>
      <c r="Q25" s="12" t="s">
        <v>42</v>
      </c>
      <c r="R25" s="19" t="s">
        <v>0</v>
      </c>
      <c r="S25" s="21" t="s">
        <v>41</v>
      </c>
      <c r="T25" s="12" t="s">
        <v>65</v>
      </c>
      <c r="U25" s="12" t="s">
        <v>42</v>
      </c>
      <c r="V25" s="35" t="s">
        <v>0</v>
      </c>
      <c r="X25" s="9"/>
      <c r="Y25" s="9"/>
      <c r="Z25" s="9"/>
    </row>
    <row r="26" spans="1:26" ht="31.5" customHeight="1" x14ac:dyDescent="0.2">
      <c r="A26" s="16" t="s">
        <v>45</v>
      </c>
      <c r="B26" s="27">
        <v>0.18604999999999999</v>
      </c>
      <c r="C26" s="27">
        <v>0.15603</v>
      </c>
      <c r="D26" s="27">
        <v>0.65791999999999995</v>
      </c>
      <c r="E26" s="27">
        <f>B26+C26+D26</f>
        <v>1</v>
      </c>
      <c r="F26" s="29">
        <v>3002093</v>
      </c>
      <c r="G26" s="32">
        <f t="shared" ref="G26:G34" si="18">J26*B7</f>
        <v>11122.999249999999</v>
      </c>
      <c r="H26" s="31">
        <f t="shared" ref="H26:H34" si="19">J26*C7</f>
        <v>9328.2535499999994</v>
      </c>
      <c r="I26" s="31">
        <f t="shared" ref="I26:I34" si="20">J26*D7</f>
        <v>39333.747199999998</v>
      </c>
      <c r="J26" s="40">
        <v>59785</v>
      </c>
      <c r="K26" s="43">
        <f t="shared" ref="K26:K34" si="21">N26*B7</f>
        <v>41536.4067</v>
      </c>
      <c r="L26" s="15">
        <f t="shared" ref="L26:L34" si="22">N26*C7</f>
        <v>34834.321620000002</v>
      </c>
      <c r="M26" s="15">
        <f t="shared" ref="M26:M34" si="23">N26*D7</f>
        <v>146883.27167999998</v>
      </c>
      <c r="N26" s="40">
        <v>223254</v>
      </c>
      <c r="O26" s="43">
        <f t="shared" ref="O26:O34" si="24">R26*B7</f>
        <v>0</v>
      </c>
      <c r="P26" s="15">
        <f t="shared" ref="P26:P34" si="25">R26*C7</f>
        <v>0</v>
      </c>
      <c r="Q26" s="15">
        <f t="shared" ref="Q26:Q34" si="26">R26*D7</f>
        <v>0</v>
      </c>
      <c r="R26" s="40">
        <v>0</v>
      </c>
      <c r="S26" s="43">
        <f t="shared" ref="S26:S34" si="27">V26*B7</f>
        <v>52659.40595</v>
      </c>
      <c r="T26" s="15">
        <f t="shared" ref="T26:T34" si="28">V26*C7</f>
        <v>44162.575170000004</v>
      </c>
      <c r="U26" s="15">
        <f t="shared" ref="U26:U34" si="29">V26*D7</f>
        <v>186217.01887999999</v>
      </c>
      <c r="V26" s="36">
        <f>J26+N26+R26</f>
        <v>283039</v>
      </c>
      <c r="X26" s="84">
        <f>J26</f>
        <v>59785</v>
      </c>
      <c r="Y26" s="84">
        <f>N26</f>
        <v>223254</v>
      </c>
      <c r="Z26" s="84">
        <f>R26</f>
        <v>0</v>
      </c>
    </row>
    <row r="27" spans="1:26" ht="30.75" customHeight="1" x14ac:dyDescent="0.2">
      <c r="A27" s="16" t="s">
        <v>47</v>
      </c>
      <c r="B27" s="27">
        <v>0.10317</v>
      </c>
      <c r="C27" s="27">
        <v>5.6680000000000001E-2</v>
      </c>
      <c r="D27" s="27">
        <v>0.84014999999999995</v>
      </c>
      <c r="E27" s="27">
        <f t="shared" ref="E27:E34" si="30">B27+C27+D27</f>
        <v>1</v>
      </c>
      <c r="F27" s="29">
        <v>288813</v>
      </c>
      <c r="G27" s="32">
        <f t="shared" si="18"/>
        <v>0</v>
      </c>
      <c r="H27" s="31">
        <f t="shared" si="19"/>
        <v>0</v>
      </c>
      <c r="I27" s="31">
        <f t="shared" si="20"/>
        <v>0</v>
      </c>
      <c r="J27" s="40">
        <v>0</v>
      </c>
      <c r="K27" s="43">
        <f t="shared" si="21"/>
        <v>2267.5734299999999</v>
      </c>
      <c r="L27" s="15">
        <f t="shared" si="22"/>
        <v>1245.76972</v>
      </c>
      <c r="M27" s="15">
        <f t="shared" si="23"/>
        <v>18465.656849999999</v>
      </c>
      <c r="N27" s="40">
        <v>21979</v>
      </c>
      <c r="O27" s="43">
        <f t="shared" si="24"/>
        <v>0</v>
      </c>
      <c r="P27" s="15">
        <f t="shared" si="25"/>
        <v>0</v>
      </c>
      <c r="Q27" s="15">
        <f t="shared" si="26"/>
        <v>0</v>
      </c>
      <c r="R27" s="40">
        <v>0</v>
      </c>
      <c r="S27" s="43">
        <f t="shared" si="27"/>
        <v>2267.5734299999999</v>
      </c>
      <c r="T27" s="15">
        <f t="shared" si="28"/>
        <v>1245.76972</v>
      </c>
      <c r="U27" s="15">
        <f t="shared" si="29"/>
        <v>18465.656849999999</v>
      </c>
      <c r="V27" s="36">
        <f t="shared" ref="V27:V34" si="31">J27+N27+R27</f>
        <v>21979</v>
      </c>
      <c r="X27" s="84">
        <f t="shared" ref="X27:X35" si="32">J27</f>
        <v>0</v>
      </c>
      <c r="Y27" s="84">
        <f t="shared" ref="Y27:Y35" si="33">N27</f>
        <v>21979</v>
      </c>
      <c r="Z27" s="84">
        <f t="shared" ref="Z27:Z35" si="34">R27</f>
        <v>0</v>
      </c>
    </row>
    <row r="28" spans="1:26" ht="21" customHeight="1" x14ac:dyDescent="0.2">
      <c r="A28" s="16" t="s">
        <v>48</v>
      </c>
      <c r="B28" s="27">
        <v>0.19394</v>
      </c>
      <c r="C28" s="27">
        <v>0.12784999999999999</v>
      </c>
      <c r="D28" s="27">
        <v>0.67820999999999998</v>
      </c>
      <c r="E28" s="27">
        <f t="shared" si="30"/>
        <v>1</v>
      </c>
      <c r="F28" s="29">
        <v>229921</v>
      </c>
      <c r="G28" s="32">
        <f t="shared" si="18"/>
        <v>1623.6656800000001</v>
      </c>
      <c r="H28" s="31">
        <f t="shared" si="19"/>
        <v>1070.3601999999998</v>
      </c>
      <c r="I28" s="31">
        <f t="shared" si="20"/>
        <v>5677.9741199999999</v>
      </c>
      <c r="J28" s="40">
        <v>8372</v>
      </c>
      <c r="K28" s="43">
        <f t="shared" si="21"/>
        <v>2537.5109600000001</v>
      </c>
      <c r="L28" s="15">
        <f t="shared" si="22"/>
        <v>1672.7893999999999</v>
      </c>
      <c r="M28" s="15">
        <f t="shared" si="23"/>
        <v>8873.6996399999989</v>
      </c>
      <c r="N28" s="40">
        <v>13084</v>
      </c>
      <c r="O28" s="43">
        <f t="shared" si="24"/>
        <v>1106.03982</v>
      </c>
      <c r="P28" s="15">
        <f t="shared" si="25"/>
        <v>729.1285499999999</v>
      </c>
      <c r="Q28" s="15">
        <f t="shared" si="26"/>
        <v>3867.8316299999997</v>
      </c>
      <c r="R28" s="40">
        <v>5703</v>
      </c>
      <c r="S28" s="43">
        <f t="shared" si="27"/>
        <v>5267.2164599999996</v>
      </c>
      <c r="T28" s="15">
        <f t="shared" si="28"/>
        <v>3472.2781499999996</v>
      </c>
      <c r="U28" s="15">
        <f t="shared" si="29"/>
        <v>18419.505389999998</v>
      </c>
      <c r="V28" s="36">
        <f t="shared" si="31"/>
        <v>27159</v>
      </c>
      <c r="X28" s="84">
        <f t="shared" si="32"/>
        <v>8372</v>
      </c>
      <c r="Y28" s="84">
        <f t="shared" si="33"/>
        <v>13084</v>
      </c>
      <c r="Z28" s="84">
        <f t="shared" si="34"/>
        <v>5703</v>
      </c>
    </row>
    <row r="29" spans="1:26" ht="21" customHeight="1" x14ac:dyDescent="0.2">
      <c r="A29" s="16" t="s">
        <v>46</v>
      </c>
      <c r="B29" s="27">
        <v>0.14801</v>
      </c>
      <c r="C29" s="27">
        <v>5.1470000000000002E-2</v>
      </c>
      <c r="D29" s="27">
        <v>0.80052000000000001</v>
      </c>
      <c r="E29" s="27">
        <f t="shared" si="30"/>
        <v>1</v>
      </c>
      <c r="F29" s="29">
        <v>39439</v>
      </c>
      <c r="G29" s="32">
        <f t="shared" si="18"/>
        <v>296.76004999999998</v>
      </c>
      <c r="H29" s="31">
        <f t="shared" si="19"/>
        <v>103.19735</v>
      </c>
      <c r="I29" s="31">
        <f t="shared" si="20"/>
        <v>1605.0426</v>
      </c>
      <c r="J29" s="40">
        <v>2005</v>
      </c>
      <c r="K29" s="43">
        <f t="shared" si="21"/>
        <v>388.23023000000001</v>
      </c>
      <c r="L29" s="15">
        <f t="shared" si="22"/>
        <v>135.00581</v>
      </c>
      <c r="M29" s="15">
        <f t="shared" si="23"/>
        <v>2099.7639600000002</v>
      </c>
      <c r="N29" s="40">
        <v>2623</v>
      </c>
      <c r="O29" s="43">
        <f t="shared" si="24"/>
        <v>18.20523</v>
      </c>
      <c r="P29" s="15">
        <f t="shared" si="25"/>
        <v>6.3308100000000005</v>
      </c>
      <c r="Q29" s="15">
        <f t="shared" si="26"/>
        <v>98.46396</v>
      </c>
      <c r="R29" s="40">
        <v>123</v>
      </c>
      <c r="S29" s="43">
        <f t="shared" si="27"/>
        <v>703.19551000000001</v>
      </c>
      <c r="T29" s="15">
        <f t="shared" si="28"/>
        <v>244.53397000000001</v>
      </c>
      <c r="U29" s="15">
        <f t="shared" si="29"/>
        <v>3803.27052</v>
      </c>
      <c r="V29" s="36">
        <f t="shared" si="31"/>
        <v>4751</v>
      </c>
      <c r="X29" s="84">
        <f t="shared" si="32"/>
        <v>2005</v>
      </c>
      <c r="Y29" s="84">
        <f t="shared" si="33"/>
        <v>2623</v>
      </c>
      <c r="Z29" s="84">
        <f t="shared" si="34"/>
        <v>123</v>
      </c>
    </row>
    <row r="30" spans="1:26" ht="21" customHeight="1" x14ac:dyDescent="0.2">
      <c r="A30" s="16" t="s">
        <v>51</v>
      </c>
      <c r="B30" s="27">
        <v>6.5399999999999998E-3</v>
      </c>
      <c r="C30" s="27">
        <v>0.24085999999999999</v>
      </c>
      <c r="D30" s="27">
        <v>0.75260000000000005</v>
      </c>
      <c r="E30" s="27">
        <f t="shared" si="30"/>
        <v>1</v>
      </c>
      <c r="F30" s="29">
        <v>1864553</v>
      </c>
      <c r="G30" s="32">
        <f t="shared" si="18"/>
        <v>248.33687999999998</v>
      </c>
      <c r="H30" s="31">
        <f t="shared" si="19"/>
        <v>9145.9359199999999</v>
      </c>
      <c r="I30" s="31">
        <f t="shared" si="20"/>
        <v>28577.727200000001</v>
      </c>
      <c r="J30" s="40">
        <v>37972</v>
      </c>
      <c r="K30" s="43">
        <f t="shared" si="21"/>
        <v>754.78139999999996</v>
      </c>
      <c r="L30" s="15">
        <f t="shared" si="22"/>
        <v>27797.652599999998</v>
      </c>
      <c r="M30" s="15">
        <f t="shared" si="23"/>
        <v>86857.566000000006</v>
      </c>
      <c r="N30" s="40">
        <v>115410</v>
      </c>
      <c r="O30" s="43">
        <f t="shared" si="24"/>
        <v>0</v>
      </c>
      <c r="P30" s="15">
        <f t="shared" si="25"/>
        <v>0</v>
      </c>
      <c r="Q30" s="15">
        <f t="shared" si="26"/>
        <v>0</v>
      </c>
      <c r="R30" s="40">
        <v>0</v>
      </c>
      <c r="S30" s="43">
        <f t="shared" si="27"/>
        <v>1003.11828</v>
      </c>
      <c r="T30" s="15">
        <f t="shared" si="28"/>
        <v>36943.588519999998</v>
      </c>
      <c r="U30" s="15">
        <f t="shared" si="29"/>
        <v>115435.2932</v>
      </c>
      <c r="V30" s="36">
        <f t="shared" si="31"/>
        <v>153382</v>
      </c>
      <c r="X30" s="84">
        <f t="shared" si="32"/>
        <v>37972</v>
      </c>
      <c r="Y30" s="84">
        <f t="shared" si="33"/>
        <v>115410</v>
      </c>
      <c r="Z30" s="84">
        <f t="shared" si="34"/>
        <v>0</v>
      </c>
    </row>
    <row r="31" spans="1:26" ht="21" customHeight="1" x14ac:dyDescent="0.2">
      <c r="A31" s="16" t="s">
        <v>52</v>
      </c>
      <c r="B31" s="27">
        <v>1.5E-3</v>
      </c>
      <c r="C31" s="27">
        <v>6.9699999999999996E-3</v>
      </c>
      <c r="D31" s="27">
        <v>0.99153000000000002</v>
      </c>
      <c r="E31" s="27">
        <f t="shared" si="30"/>
        <v>1</v>
      </c>
      <c r="F31" s="29">
        <v>3844209</v>
      </c>
      <c r="G31" s="32">
        <f t="shared" si="18"/>
        <v>282.71250000000003</v>
      </c>
      <c r="H31" s="31">
        <f t="shared" si="19"/>
        <v>1313.67075</v>
      </c>
      <c r="I31" s="31">
        <f t="shared" si="20"/>
        <v>186878.61675000002</v>
      </c>
      <c r="J31" s="40">
        <v>188475</v>
      </c>
      <c r="K31" s="43">
        <f t="shared" si="21"/>
        <v>275.71500000000003</v>
      </c>
      <c r="L31" s="15">
        <f t="shared" si="22"/>
        <v>1281.1557</v>
      </c>
      <c r="M31" s="15">
        <f t="shared" si="23"/>
        <v>182253.1293</v>
      </c>
      <c r="N31" s="40">
        <v>183810</v>
      </c>
      <c r="O31" s="43">
        <f t="shared" si="24"/>
        <v>6.2789999999999999</v>
      </c>
      <c r="P31" s="15">
        <f t="shared" si="25"/>
        <v>29.176419999999997</v>
      </c>
      <c r="Q31" s="15">
        <f t="shared" si="26"/>
        <v>4150.5445799999998</v>
      </c>
      <c r="R31" s="40">
        <v>4186</v>
      </c>
      <c r="S31" s="43">
        <f t="shared" si="27"/>
        <v>564.70650000000001</v>
      </c>
      <c r="T31" s="15">
        <f t="shared" si="28"/>
        <v>2624.0028699999998</v>
      </c>
      <c r="U31" s="15">
        <f t="shared" si="29"/>
        <v>373282.29063</v>
      </c>
      <c r="V31" s="36">
        <f t="shared" si="31"/>
        <v>376471</v>
      </c>
      <c r="X31" s="84">
        <f t="shared" si="32"/>
        <v>188475</v>
      </c>
      <c r="Y31" s="84">
        <f t="shared" si="33"/>
        <v>183810</v>
      </c>
      <c r="Z31" s="84">
        <f t="shared" si="34"/>
        <v>4186</v>
      </c>
    </row>
    <row r="32" spans="1:26" ht="21" customHeight="1" x14ac:dyDescent="0.2">
      <c r="A32" s="16" t="s">
        <v>49</v>
      </c>
      <c r="B32" s="27">
        <v>8.3899999999999999E-3</v>
      </c>
      <c r="C32" s="27">
        <v>0.13835</v>
      </c>
      <c r="D32" s="27">
        <v>0.85326000000000002</v>
      </c>
      <c r="E32" s="27">
        <f t="shared" si="30"/>
        <v>1</v>
      </c>
      <c r="F32" s="29">
        <v>4411828</v>
      </c>
      <c r="G32" s="32">
        <f t="shared" si="18"/>
        <v>1125.9463900000001</v>
      </c>
      <c r="H32" s="31">
        <f t="shared" si="19"/>
        <v>18566.708350000001</v>
      </c>
      <c r="I32" s="31">
        <f t="shared" si="20"/>
        <v>114508.34526</v>
      </c>
      <c r="J32" s="40">
        <v>134201</v>
      </c>
      <c r="K32" s="43">
        <f t="shared" si="21"/>
        <v>2663.3299900000002</v>
      </c>
      <c r="L32" s="15">
        <f t="shared" si="22"/>
        <v>43917.962350000002</v>
      </c>
      <c r="M32" s="15">
        <f t="shared" si="23"/>
        <v>270859.70766000001</v>
      </c>
      <c r="N32" s="40">
        <v>317441</v>
      </c>
      <c r="O32" s="43">
        <f t="shared" si="24"/>
        <v>132.28513000000001</v>
      </c>
      <c r="P32" s="15">
        <f t="shared" si="25"/>
        <v>2181.36445</v>
      </c>
      <c r="Q32" s="15">
        <f t="shared" si="26"/>
        <v>13453.350420000001</v>
      </c>
      <c r="R32" s="40">
        <v>15767</v>
      </c>
      <c r="S32" s="43">
        <f t="shared" si="27"/>
        <v>3921.56151</v>
      </c>
      <c r="T32" s="15">
        <f t="shared" si="28"/>
        <v>64666.035150000003</v>
      </c>
      <c r="U32" s="15">
        <f t="shared" si="29"/>
        <v>398821.40334000002</v>
      </c>
      <c r="V32" s="36">
        <f t="shared" si="31"/>
        <v>467409</v>
      </c>
      <c r="X32" s="84">
        <f t="shared" si="32"/>
        <v>134201</v>
      </c>
      <c r="Y32" s="84">
        <f t="shared" si="33"/>
        <v>317441</v>
      </c>
      <c r="Z32" s="84">
        <f t="shared" si="34"/>
        <v>15767</v>
      </c>
    </row>
    <row r="33" spans="1:26" ht="21" customHeight="1" x14ac:dyDescent="0.2">
      <c r="A33" s="16" t="s">
        <v>50</v>
      </c>
      <c r="B33" s="27">
        <v>3.1269999999999999E-2</v>
      </c>
      <c r="C33" s="27">
        <v>5.3420000000000002E-2</v>
      </c>
      <c r="D33" s="27">
        <v>0.91530999999999996</v>
      </c>
      <c r="E33" s="27">
        <f t="shared" si="30"/>
        <v>1</v>
      </c>
      <c r="F33" s="29">
        <v>3999058</v>
      </c>
      <c r="G33" s="32">
        <f t="shared" si="18"/>
        <v>4993.1623300000001</v>
      </c>
      <c r="H33" s="31">
        <f t="shared" si="19"/>
        <v>8530.0521800000006</v>
      </c>
      <c r="I33" s="31">
        <f t="shared" si="20"/>
        <v>146155.78548999998</v>
      </c>
      <c r="J33" s="40">
        <v>159679</v>
      </c>
      <c r="K33" s="43">
        <f t="shared" si="21"/>
        <v>8414.50684</v>
      </c>
      <c r="L33" s="15">
        <f t="shared" si="22"/>
        <v>14374.89464</v>
      </c>
      <c r="M33" s="15">
        <f t="shared" si="23"/>
        <v>246302.59852</v>
      </c>
      <c r="N33" s="40">
        <v>269092</v>
      </c>
      <c r="O33" s="43">
        <f t="shared" si="24"/>
        <v>347.91001999999997</v>
      </c>
      <c r="P33" s="15">
        <f t="shared" si="25"/>
        <v>594.35091999999997</v>
      </c>
      <c r="Q33" s="15">
        <f t="shared" si="26"/>
        <v>10183.73906</v>
      </c>
      <c r="R33" s="40">
        <v>11126</v>
      </c>
      <c r="S33" s="43">
        <f t="shared" si="27"/>
        <v>13755.57919</v>
      </c>
      <c r="T33" s="15">
        <f t="shared" si="28"/>
        <v>23499.297740000002</v>
      </c>
      <c r="U33" s="15">
        <f t="shared" si="29"/>
        <v>402642.12306999997</v>
      </c>
      <c r="V33" s="36">
        <f t="shared" si="31"/>
        <v>439897</v>
      </c>
      <c r="X33" s="84">
        <f t="shared" si="32"/>
        <v>159679</v>
      </c>
      <c r="Y33" s="84">
        <f t="shared" si="33"/>
        <v>269092</v>
      </c>
      <c r="Z33" s="84">
        <f t="shared" si="34"/>
        <v>11126</v>
      </c>
    </row>
    <row r="34" spans="1:26" ht="21" customHeight="1" x14ac:dyDescent="0.2">
      <c r="A34" s="16" t="s">
        <v>53</v>
      </c>
      <c r="B34" s="27">
        <v>0.10236000000000001</v>
      </c>
      <c r="C34" s="27">
        <v>7.374E-2</v>
      </c>
      <c r="D34" s="27">
        <v>0.82389999999999997</v>
      </c>
      <c r="E34" s="27">
        <f t="shared" si="30"/>
        <v>1</v>
      </c>
      <c r="F34" s="29">
        <v>888919</v>
      </c>
      <c r="G34" s="32">
        <f t="shared" si="18"/>
        <v>8398.1262000000006</v>
      </c>
      <c r="H34" s="31">
        <f t="shared" si="19"/>
        <v>6049.9983000000002</v>
      </c>
      <c r="I34" s="31">
        <f t="shared" si="20"/>
        <v>67596.875499999995</v>
      </c>
      <c r="J34" s="40">
        <v>82045</v>
      </c>
      <c r="K34" s="43">
        <f t="shared" si="21"/>
        <v>4134.1156799999999</v>
      </c>
      <c r="L34" s="15">
        <f t="shared" si="22"/>
        <v>2978.2111199999999</v>
      </c>
      <c r="M34" s="15">
        <f t="shared" si="23"/>
        <v>33275.673199999997</v>
      </c>
      <c r="N34" s="40">
        <v>40388</v>
      </c>
      <c r="O34" s="43">
        <f t="shared" si="24"/>
        <v>388.14912000000004</v>
      </c>
      <c r="P34" s="15">
        <f t="shared" si="25"/>
        <v>279.62207999999998</v>
      </c>
      <c r="Q34" s="15">
        <f t="shared" si="26"/>
        <v>3124.2287999999999</v>
      </c>
      <c r="R34" s="40">
        <v>3792</v>
      </c>
      <c r="S34" s="43">
        <f t="shared" si="27"/>
        <v>12920.391000000001</v>
      </c>
      <c r="T34" s="15">
        <f t="shared" si="28"/>
        <v>9307.8315000000002</v>
      </c>
      <c r="U34" s="15">
        <f t="shared" si="29"/>
        <v>103996.7775</v>
      </c>
      <c r="V34" s="36">
        <f t="shared" si="31"/>
        <v>126225</v>
      </c>
      <c r="X34" s="84">
        <f t="shared" si="32"/>
        <v>82045</v>
      </c>
      <c r="Y34" s="84">
        <f t="shared" si="33"/>
        <v>40388</v>
      </c>
      <c r="Z34" s="84">
        <f t="shared" si="34"/>
        <v>3792</v>
      </c>
    </row>
    <row r="35" spans="1:26" ht="21" customHeight="1" thickBot="1" x14ac:dyDescent="0.25">
      <c r="A35" s="10" t="s">
        <v>54</v>
      </c>
      <c r="B35" s="11"/>
      <c r="C35" s="11"/>
      <c r="D35" s="11"/>
      <c r="E35" s="11"/>
      <c r="F35" s="29">
        <f t="shared" ref="F35" si="35">SUM(F26:F34)</f>
        <v>18568833</v>
      </c>
      <c r="G35" s="33">
        <f t="shared" ref="G35:V35" si="36">SUM(G26:G34)</f>
        <v>28091.709280000003</v>
      </c>
      <c r="H35" s="23">
        <f t="shared" si="36"/>
        <v>54108.176599999999</v>
      </c>
      <c r="I35" s="38">
        <f t="shared" si="36"/>
        <v>590334.11412000004</v>
      </c>
      <c r="J35" s="24">
        <f t="shared" si="36"/>
        <v>672534</v>
      </c>
      <c r="K35" s="33">
        <f t="shared" si="36"/>
        <v>62972.170229999996</v>
      </c>
      <c r="L35" s="23">
        <f t="shared" si="36"/>
        <v>128237.76295999999</v>
      </c>
      <c r="M35" s="38">
        <f t="shared" si="36"/>
        <v>995871.06680999987</v>
      </c>
      <c r="N35" s="24">
        <f t="shared" si="36"/>
        <v>1187081</v>
      </c>
      <c r="O35" s="33">
        <f t="shared" si="36"/>
        <v>1998.86832</v>
      </c>
      <c r="P35" s="38">
        <f t="shared" si="36"/>
        <v>3819.9732300000001</v>
      </c>
      <c r="Q35" s="38">
        <f t="shared" si="36"/>
        <v>34878.158449999995</v>
      </c>
      <c r="R35" s="38">
        <f t="shared" si="36"/>
        <v>40697</v>
      </c>
      <c r="S35" s="33">
        <f t="shared" si="36"/>
        <v>93062.747830000008</v>
      </c>
      <c r="T35" s="38">
        <f t="shared" si="36"/>
        <v>186165.91279</v>
      </c>
      <c r="U35" s="38">
        <f t="shared" si="36"/>
        <v>1621083.33938</v>
      </c>
      <c r="V35" s="24">
        <f t="shared" si="36"/>
        <v>1900312</v>
      </c>
      <c r="X35" s="85">
        <f t="shared" si="32"/>
        <v>672534</v>
      </c>
      <c r="Y35" s="85">
        <f t="shared" si="33"/>
        <v>1187081</v>
      </c>
      <c r="Z35" s="85">
        <f t="shared" si="34"/>
        <v>40697</v>
      </c>
    </row>
    <row r="36" spans="1:26" s="78" customFormat="1" x14ac:dyDescent="0.2">
      <c r="A36" s="74"/>
      <c r="B36" s="75"/>
      <c r="C36" s="75"/>
      <c r="D36" s="75"/>
      <c r="E36" s="75"/>
      <c r="F36" s="76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</row>
    <row r="37" spans="1:26" s="78" customFormat="1" x14ac:dyDescent="0.2">
      <c r="A37" s="79" t="s">
        <v>92</v>
      </c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</row>
    <row r="39" spans="1:26" ht="46.5" customHeight="1" thickBot="1" x14ac:dyDescent="0.25">
      <c r="A39" s="162" t="s">
        <v>39</v>
      </c>
      <c r="B39" s="163" t="s">
        <v>40</v>
      </c>
      <c r="C39" s="164"/>
      <c r="D39" s="164"/>
      <c r="E39" s="164"/>
      <c r="F39" s="165" t="s">
        <v>93</v>
      </c>
    </row>
    <row r="40" spans="1:26" ht="13.5" thickBot="1" x14ac:dyDescent="0.25">
      <c r="A40" s="162"/>
      <c r="B40" s="163" t="s">
        <v>41</v>
      </c>
      <c r="C40" s="163" t="s">
        <v>61</v>
      </c>
      <c r="D40" s="163" t="s">
        <v>42</v>
      </c>
      <c r="E40" s="163" t="s">
        <v>43</v>
      </c>
      <c r="F40" s="166"/>
      <c r="G40" s="169" t="s">
        <v>57</v>
      </c>
      <c r="H40" s="170"/>
      <c r="I40" s="170"/>
      <c r="J40" s="170"/>
      <c r="K40" s="170"/>
      <c r="L40" s="170"/>
      <c r="M40" s="170"/>
      <c r="N40" s="170"/>
      <c r="O40" s="170"/>
      <c r="P40" s="170"/>
      <c r="Q40" s="170"/>
      <c r="R40" s="170"/>
      <c r="S40" s="170"/>
      <c r="T40" s="170"/>
      <c r="U40" s="170"/>
      <c r="V40" s="171"/>
      <c r="X40" s="9" t="s">
        <v>44</v>
      </c>
      <c r="Y40" s="9" t="s">
        <v>62</v>
      </c>
      <c r="Z40" s="9" t="s">
        <v>97</v>
      </c>
    </row>
    <row r="41" spans="1:26" x14ac:dyDescent="0.2">
      <c r="A41" s="162"/>
      <c r="B41" s="164"/>
      <c r="C41" s="164"/>
      <c r="D41" s="164"/>
      <c r="E41" s="164"/>
      <c r="F41" s="166"/>
      <c r="G41" s="167" t="s">
        <v>44</v>
      </c>
      <c r="H41" s="168"/>
      <c r="I41" s="168"/>
      <c r="J41" s="168"/>
      <c r="K41" s="167" t="s">
        <v>62</v>
      </c>
      <c r="L41" s="168"/>
      <c r="M41" s="168"/>
      <c r="N41" s="168"/>
      <c r="O41" s="167" t="s">
        <v>63</v>
      </c>
      <c r="P41" s="168"/>
      <c r="Q41" s="168"/>
      <c r="R41" s="168"/>
      <c r="S41" s="172" t="s">
        <v>43</v>
      </c>
      <c r="T41" s="173"/>
      <c r="U41" s="173"/>
      <c r="V41" s="173"/>
      <c r="X41" s="9"/>
      <c r="Y41" s="9"/>
      <c r="Z41" s="9"/>
    </row>
    <row r="42" spans="1:26" ht="21.75" customHeight="1" x14ac:dyDescent="0.2">
      <c r="A42" s="26"/>
      <c r="B42" s="71"/>
      <c r="C42" s="71"/>
      <c r="D42" s="71"/>
      <c r="E42" s="71"/>
      <c r="F42" s="72"/>
      <c r="G42" s="21" t="s">
        <v>41</v>
      </c>
      <c r="H42" s="12" t="s">
        <v>65</v>
      </c>
      <c r="I42" s="12" t="s">
        <v>42</v>
      </c>
      <c r="J42" s="19" t="s">
        <v>0</v>
      </c>
      <c r="K42" s="21" t="s">
        <v>41</v>
      </c>
      <c r="L42" s="12" t="s">
        <v>65</v>
      </c>
      <c r="M42" s="12" t="s">
        <v>42</v>
      </c>
      <c r="N42" s="19" t="s">
        <v>0</v>
      </c>
      <c r="O42" s="21" t="s">
        <v>41</v>
      </c>
      <c r="P42" s="12" t="s">
        <v>65</v>
      </c>
      <c r="Q42" s="12" t="s">
        <v>42</v>
      </c>
      <c r="R42" s="19" t="s">
        <v>0</v>
      </c>
      <c r="S42" s="21" t="s">
        <v>41</v>
      </c>
      <c r="T42" s="12" t="s">
        <v>65</v>
      </c>
      <c r="U42" s="12" t="s">
        <v>42</v>
      </c>
      <c r="V42" s="19" t="s">
        <v>0</v>
      </c>
      <c r="X42" s="9"/>
      <c r="Y42" s="9"/>
      <c r="Z42" s="9"/>
    </row>
    <row r="43" spans="1:26" ht="29.25" customHeight="1" x14ac:dyDescent="0.2">
      <c r="A43" s="16" t="s">
        <v>45</v>
      </c>
      <c r="B43" s="27">
        <v>0.18604999999999999</v>
      </c>
      <c r="C43" s="27">
        <v>0.15603</v>
      </c>
      <c r="D43" s="27">
        <v>0.65791999999999995</v>
      </c>
      <c r="E43" s="27">
        <f>B43+C43+D43</f>
        <v>1</v>
      </c>
      <c r="F43" s="29">
        <v>3002093</v>
      </c>
      <c r="G43" s="45">
        <f t="shared" ref="G43:G51" si="37">J43*B7</f>
        <v>11202.25655</v>
      </c>
      <c r="H43" s="44">
        <f t="shared" ref="H43:H51" si="38">J43*C7</f>
        <v>9394.7223300000005</v>
      </c>
      <c r="I43" s="44">
        <f t="shared" ref="I43:I51" si="39">J43*D7</f>
        <v>39614.021119999998</v>
      </c>
      <c r="J43" s="46">
        <v>60211</v>
      </c>
      <c r="K43" s="43">
        <f t="shared" ref="K43:K51" si="40">N43*B7</f>
        <v>41912.971899999997</v>
      </c>
      <c r="L43" s="15">
        <f t="shared" ref="L43:L51" si="41">N43*C7</f>
        <v>35150.126340000003</v>
      </c>
      <c r="M43" s="15">
        <f t="shared" ref="M43:M51" si="42">N43*D7</f>
        <v>148214.90175999998</v>
      </c>
      <c r="N43" s="40">
        <v>225278</v>
      </c>
      <c r="O43" s="43">
        <f t="shared" ref="O43:O51" si="43">R43*B7</f>
        <v>0</v>
      </c>
      <c r="P43" s="15">
        <f t="shared" ref="P43:P51" si="44">R43*C7</f>
        <v>0</v>
      </c>
      <c r="Q43" s="15">
        <f t="shared" ref="Q43:Q51" si="45">R43*D7</f>
        <v>0</v>
      </c>
      <c r="R43" s="40">
        <v>0</v>
      </c>
      <c r="S43" s="43">
        <f>G43+K43+O43</f>
        <v>53115.228449999995</v>
      </c>
      <c r="T43" s="15">
        <f>H43+L43+P43</f>
        <v>44544.848670000007</v>
      </c>
      <c r="U43" s="15">
        <f>I43+M43+Q43</f>
        <v>187828.92287999997</v>
      </c>
      <c r="V43" s="47">
        <f>J43+N43+R43</f>
        <v>285489</v>
      </c>
      <c r="X43" s="84">
        <f>J43</f>
        <v>60211</v>
      </c>
      <c r="Y43" s="84">
        <f>N43</f>
        <v>225278</v>
      </c>
      <c r="Z43" s="84">
        <f>R43</f>
        <v>0</v>
      </c>
    </row>
    <row r="44" spans="1:26" ht="29.25" customHeight="1" x14ac:dyDescent="0.2">
      <c r="A44" s="16" t="s">
        <v>47</v>
      </c>
      <c r="B44" s="27">
        <v>0.10317</v>
      </c>
      <c r="C44" s="27">
        <v>5.6680000000000001E-2</v>
      </c>
      <c r="D44" s="27">
        <v>0.84014999999999995</v>
      </c>
      <c r="E44" s="27">
        <f t="shared" ref="E44:E51" si="46">B44+C44+D44</f>
        <v>1</v>
      </c>
      <c r="F44" s="29">
        <v>288813</v>
      </c>
      <c r="G44" s="45">
        <f t="shared" si="37"/>
        <v>0</v>
      </c>
      <c r="H44" s="44">
        <f t="shared" si="38"/>
        <v>0</v>
      </c>
      <c r="I44" s="44">
        <f t="shared" si="39"/>
        <v>0</v>
      </c>
      <c r="J44" s="46">
        <v>0</v>
      </c>
      <c r="K44" s="43">
        <f t="shared" si="40"/>
        <v>2395.7105699999997</v>
      </c>
      <c r="L44" s="15">
        <f t="shared" si="41"/>
        <v>1316.1662799999999</v>
      </c>
      <c r="M44" s="15">
        <f t="shared" si="42"/>
        <v>19509.123149999999</v>
      </c>
      <c r="N44" s="40">
        <v>23221</v>
      </c>
      <c r="O44" s="43">
        <f t="shared" si="43"/>
        <v>0</v>
      </c>
      <c r="P44" s="15">
        <f t="shared" si="44"/>
        <v>0</v>
      </c>
      <c r="Q44" s="15">
        <f t="shared" si="45"/>
        <v>0</v>
      </c>
      <c r="R44" s="40">
        <v>0</v>
      </c>
      <c r="S44" s="43">
        <f t="shared" ref="S44:S51" si="47">G44+K44+O44</f>
        <v>2395.7105699999997</v>
      </c>
      <c r="T44" s="15">
        <f t="shared" ref="T44:T51" si="48">H44+L44+P44</f>
        <v>1316.1662799999999</v>
      </c>
      <c r="U44" s="15">
        <f t="shared" ref="U44:U51" si="49">I44+M44+Q44</f>
        <v>19509.123149999999</v>
      </c>
      <c r="V44" s="47">
        <f t="shared" ref="V44:V51" si="50">J44+N44+R44</f>
        <v>23221</v>
      </c>
      <c r="X44" s="84">
        <f t="shared" ref="X44:X52" si="51">J44</f>
        <v>0</v>
      </c>
      <c r="Y44" s="84">
        <f t="shared" ref="Y44:Y52" si="52">N44</f>
        <v>23221</v>
      </c>
      <c r="Z44" s="84">
        <f t="shared" ref="Z44:Z52" si="53">R44</f>
        <v>0</v>
      </c>
    </row>
    <row r="45" spans="1:26" ht="20.25" customHeight="1" x14ac:dyDescent="0.2">
      <c r="A45" s="16" t="s">
        <v>48</v>
      </c>
      <c r="B45" s="27">
        <v>0.19394</v>
      </c>
      <c r="C45" s="27">
        <v>0.12784999999999999</v>
      </c>
      <c r="D45" s="27">
        <v>0.67820999999999998</v>
      </c>
      <c r="E45" s="27">
        <f t="shared" si="46"/>
        <v>1</v>
      </c>
      <c r="F45" s="29">
        <v>229921</v>
      </c>
      <c r="G45" s="45">
        <f t="shared" si="37"/>
        <v>1733.04784</v>
      </c>
      <c r="H45" s="44">
        <f t="shared" si="38"/>
        <v>1142.4675999999999</v>
      </c>
      <c r="I45" s="44">
        <f t="shared" si="39"/>
        <v>6060.4845599999999</v>
      </c>
      <c r="J45" s="46">
        <v>8936</v>
      </c>
      <c r="K45" s="43">
        <f t="shared" si="40"/>
        <v>2725.2448800000002</v>
      </c>
      <c r="L45" s="15">
        <f t="shared" si="41"/>
        <v>1796.5482</v>
      </c>
      <c r="M45" s="15">
        <f t="shared" si="42"/>
        <v>9530.2069200000005</v>
      </c>
      <c r="N45" s="40">
        <v>14052</v>
      </c>
      <c r="O45" s="43">
        <f t="shared" si="43"/>
        <v>1184.5855200000001</v>
      </c>
      <c r="P45" s="15">
        <f t="shared" si="44"/>
        <v>780.90779999999995</v>
      </c>
      <c r="Q45" s="15">
        <f t="shared" si="45"/>
        <v>4142.5066799999995</v>
      </c>
      <c r="R45" s="40">
        <v>6108</v>
      </c>
      <c r="S45" s="43">
        <f t="shared" si="47"/>
        <v>5642.87824</v>
      </c>
      <c r="T45" s="15">
        <f t="shared" si="48"/>
        <v>3719.9236000000001</v>
      </c>
      <c r="U45" s="15">
        <f t="shared" si="49"/>
        <v>19733.19816</v>
      </c>
      <c r="V45" s="47">
        <f t="shared" si="50"/>
        <v>29096</v>
      </c>
      <c r="X45" s="84">
        <f t="shared" si="51"/>
        <v>8936</v>
      </c>
      <c r="Y45" s="84">
        <f t="shared" si="52"/>
        <v>14052</v>
      </c>
      <c r="Z45" s="84">
        <f t="shared" si="53"/>
        <v>6108</v>
      </c>
    </row>
    <row r="46" spans="1:26" ht="20.25" customHeight="1" x14ac:dyDescent="0.2">
      <c r="A46" s="16" t="s">
        <v>46</v>
      </c>
      <c r="B46" s="27">
        <v>0.14801</v>
      </c>
      <c r="C46" s="27">
        <v>5.1470000000000002E-2</v>
      </c>
      <c r="D46" s="27">
        <v>0.80052000000000001</v>
      </c>
      <c r="E46" s="27">
        <f t="shared" si="46"/>
        <v>1</v>
      </c>
      <c r="F46" s="29">
        <v>39439</v>
      </c>
      <c r="G46" s="45">
        <f t="shared" si="37"/>
        <v>302.53244000000001</v>
      </c>
      <c r="H46" s="44">
        <f t="shared" si="38"/>
        <v>105.20468000000001</v>
      </c>
      <c r="I46" s="44">
        <f t="shared" si="39"/>
        <v>1636.26288</v>
      </c>
      <c r="J46" s="46">
        <v>2044</v>
      </c>
      <c r="K46" s="43">
        <f t="shared" si="40"/>
        <v>395.63073000000003</v>
      </c>
      <c r="L46" s="15">
        <f t="shared" si="41"/>
        <v>137.57930999999999</v>
      </c>
      <c r="M46" s="15">
        <f t="shared" si="42"/>
        <v>2139.7899600000001</v>
      </c>
      <c r="N46" s="40">
        <v>2673</v>
      </c>
      <c r="O46" s="43">
        <f t="shared" si="43"/>
        <v>18.501249999999999</v>
      </c>
      <c r="P46" s="15">
        <f t="shared" si="44"/>
        <v>6.4337499999999999</v>
      </c>
      <c r="Q46" s="15">
        <f t="shared" si="45"/>
        <v>100.065</v>
      </c>
      <c r="R46" s="40">
        <v>125</v>
      </c>
      <c r="S46" s="43">
        <f t="shared" si="47"/>
        <v>716.66442000000006</v>
      </c>
      <c r="T46" s="15">
        <f t="shared" si="48"/>
        <v>249.21774000000002</v>
      </c>
      <c r="U46" s="15">
        <f t="shared" si="49"/>
        <v>3876.1178400000003</v>
      </c>
      <c r="V46" s="47">
        <f t="shared" si="50"/>
        <v>4842</v>
      </c>
      <c r="X46" s="84">
        <f t="shared" si="51"/>
        <v>2044</v>
      </c>
      <c r="Y46" s="84">
        <f t="shared" si="52"/>
        <v>2673</v>
      </c>
      <c r="Z46" s="84">
        <f t="shared" si="53"/>
        <v>125</v>
      </c>
    </row>
    <row r="47" spans="1:26" ht="20.25" customHeight="1" x14ac:dyDescent="0.2">
      <c r="A47" s="16" t="s">
        <v>51</v>
      </c>
      <c r="B47" s="27">
        <v>6.5399999999999998E-3</v>
      </c>
      <c r="C47" s="27">
        <v>0.24085999999999999</v>
      </c>
      <c r="D47" s="27">
        <v>0.75260000000000005</v>
      </c>
      <c r="E47" s="27">
        <f t="shared" si="46"/>
        <v>1</v>
      </c>
      <c r="F47" s="29">
        <v>1864553</v>
      </c>
      <c r="G47" s="45">
        <f t="shared" si="37"/>
        <v>260.76941999999997</v>
      </c>
      <c r="H47" s="44">
        <f t="shared" si="38"/>
        <v>9603.8107799999998</v>
      </c>
      <c r="I47" s="44">
        <f t="shared" si="39"/>
        <v>30008.419800000003</v>
      </c>
      <c r="J47" s="46">
        <v>39873</v>
      </c>
      <c r="K47" s="43">
        <f t="shared" si="40"/>
        <v>766.40297999999996</v>
      </c>
      <c r="L47" s="15">
        <f t="shared" si="41"/>
        <v>28225.660819999997</v>
      </c>
      <c r="M47" s="15">
        <f t="shared" si="42"/>
        <v>88194.936200000011</v>
      </c>
      <c r="N47" s="40">
        <v>117187</v>
      </c>
      <c r="O47" s="43">
        <f t="shared" si="43"/>
        <v>0</v>
      </c>
      <c r="P47" s="15">
        <f t="shared" si="44"/>
        <v>0</v>
      </c>
      <c r="Q47" s="15">
        <f t="shared" si="45"/>
        <v>0</v>
      </c>
      <c r="R47" s="40">
        <v>0</v>
      </c>
      <c r="S47" s="43">
        <f t="shared" si="47"/>
        <v>1027.1723999999999</v>
      </c>
      <c r="T47" s="15">
        <f t="shared" si="48"/>
        <v>37829.471599999997</v>
      </c>
      <c r="U47" s="15">
        <f t="shared" si="49"/>
        <v>118203.35600000001</v>
      </c>
      <c r="V47" s="47">
        <f t="shared" si="50"/>
        <v>157060</v>
      </c>
      <c r="X47" s="84">
        <f t="shared" si="51"/>
        <v>39873</v>
      </c>
      <c r="Y47" s="84">
        <f t="shared" si="52"/>
        <v>117187</v>
      </c>
      <c r="Z47" s="84">
        <f t="shared" si="53"/>
        <v>0</v>
      </c>
    </row>
    <row r="48" spans="1:26" ht="20.25" customHeight="1" x14ac:dyDescent="0.2">
      <c r="A48" s="16" t="s">
        <v>52</v>
      </c>
      <c r="B48" s="27">
        <v>1.5E-3</v>
      </c>
      <c r="C48" s="27">
        <v>6.9699999999999996E-3</v>
      </c>
      <c r="D48" s="27">
        <v>0.99153000000000002</v>
      </c>
      <c r="E48" s="27">
        <f t="shared" si="46"/>
        <v>1</v>
      </c>
      <c r="F48" s="29">
        <v>3844209</v>
      </c>
      <c r="G48" s="45">
        <f t="shared" si="37"/>
        <v>448.99799999999999</v>
      </c>
      <c r="H48" s="44">
        <f t="shared" si="38"/>
        <v>2086.3440399999999</v>
      </c>
      <c r="I48" s="44">
        <f t="shared" si="39"/>
        <v>296796.65795999998</v>
      </c>
      <c r="J48" s="46">
        <v>299332</v>
      </c>
      <c r="K48" s="43">
        <f t="shared" si="40"/>
        <v>354.4905</v>
      </c>
      <c r="L48" s="15">
        <f t="shared" si="41"/>
        <v>1647.1991899999998</v>
      </c>
      <c r="M48" s="15">
        <f t="shared" si="42"/>
        <v>234325.31031</v>
      </c>
      <c r="N48" s="40">
        <v>236327</v>
      </c>
      <c r="O48" s="43">
        <f t="shared" si="43"/>
        <v>7.2975000000000003</v>
      </c>
      <c r="P48" s="15">
        <f t="shared" si="44"/>
        <v>33.909050000000001</v>
      </c>
      <c r="Q48" s="15">
        <f t="shared" si="45"/>
        <v>4823.7934500000001</v>
      </c>
      <c r="R48" s="40">
        <v>4865</v>
      </c>
      <c r="S48" s="43">
        <f t="shared" si="47"/>
        <v>810.78599999999994</v>
      </c>
      <c r="T48" s="15">
        <f t="shared" si="48"/>
        <v>3767.45228</v>
      </c>
      <c r="U48" s="15">
        <f t="shared" si="49"/>
        <v>535945.76171999995</v>
      </c>
      <c r="V48" s="47">
        <f t="shared" si="50"/>
        <v>540524</v>
      </c>
      <c r="X48" s="84">
        <f t="shared" si="51"/>
        <v>299332</v>
      </c>
      <c r="Y48" s="84">
        <f t="shared" si="52"/>
        <v>236327</v>
      </c>
      <c r="Z48" s="84">
        <f t="shared" si="53"/>
        <v>4865</v>
      </c>
    </row>
    <row r="49" spans="1:26" ht="20.25" customHeight="1" x14ac:dyDescent="0.2">
      <c r="A49" s="16" t="s">
        <v>49</v>
      </c>
      <c r="B49" s="27">
        <v>8.3899999999999999E-3</v>
      </c>
      <c r="C49" s="27">
        <v>0.13835</v>
      </c>
      <c r="D49" s="27">
        <v>0.85326000000000002</v>
      </c>
      <c r="E49" s="27">
        <f t="shared" si="46"/>
        <v>1</v>
      </c>
      <c r="F49" s="29">
        <v>4411828</v>
      </c>
      <c r="G49" s="45">
        <f t="shared" si="37"/>
        <v>2080.78712</v>
      </c>
      <c r="H49" s="44">
        <f t="shared" si="38"/>
        <v>34311.906799999997</v>
      </c>
      <c r="I49" s="44">
        <f t="shared" si="39"/>
        <v>211615.30608000001</v>
      </c>
      <c r="J49" s="46">
        <v>248008</v>
      </c>
      <c r="K49" s="43">
        <f t="shared" si="40"/>
        <v>3925.1776</v>
      </c>
      <c r="L49" s="15">
        <f t="shared" si="41"/>
        <v>64725.663999999997</v>
      </c>
      <c r="M49" s="15">
        <f t="shared" si="42"/>
        <v>399189.15840000001</v>
      </c>
      <c r="N49" s="40">
        <v>467840</v>
      </c>
      <c r="O49" s="43">
        <f t="shared" si="43"/>
        <v>181.44213999999999</v>
      </c>
      <c r="P49" s="15">
        <f t="shared" si="44"/>
        <v>2991.9571000000001</v>
      </c>
      <c r="Q49" s="15">
        <f t="shared" si="45"/>
        <v>18452.600760000001</v>
      </c>
      <c r="R49" s="40">
        <v>21626</v>
      </c>
      <c r="S49" s="43">
        <f t="shared" si="47"/>
        <v>6187.4068600000001</v>
      </c>
      <c r="T49" s="15">
        <f t="shared" si="48"/>
        <v>102029.52789999999</v>
      </c>
      <c r="U49" s="15">
        <f t="shared" si="49"/>
        <v>629257.06524000014</v>
      </c>
      <c r="V49" s="47">
        <f t="shared" si="50"/>
        <v>737474</v>
      </c>
      <c r="X49" s="84">
        <f t="shared" si="51"/>
        <v>248008</v>
      </c>
      <c r="Y49" s="84">
        <f t="shared" si="52"/>
        <v>467840</v>
      </c>
      <c r="Z49" s="84">
        <f t="shared" si="53"/>
        <v>21626</v>
      </c>
    </row>
    <row r="50" spans="1:26" ht="20.25" customHeight="1" x14ac:dyDescent="0.2">
      <c r="A50" s="16" t="s">
        <v>50</v>
      </c>
      <c r="B50" s="27">
        <v>3.1269999999999999E-2</v>
      </c>
      <c r="C50" s="27">
        <v>5.3420000000000002E-2</v>
      </c>
      <c r="D50" s="27">
        <v>0.91530999999999996</v>
      </c>
      <c r="E50" s="27">
        <f t="shared" si="46"/>
        <v>1</v>
      </c>
      <c r="F50" s="29">
        <v>3999058</v>
      </c>
      <c r="G50" s="45">
        <f t="shared" si="37"/>
        <v>5170.2130699999998</v>
      </c>
      <c r="H50" s="44">
        <f t="shared" si="38"/>
        <v>8832.5162199999995</v>
      </c>
      <c r="I50" s="44">
        <f t="shared" si="39"/>
        <v>151338.27070999998</v>
      </c>
      <c r="J50" s="46">
        <v>165341</v>
      </c>
      <c r="K50" s="43">
        <f t="shared" si="40"/>
        <v>8712.791369999999</v>
      </c>
      <c r="L50" s="15">
        <f t="shared" si="41"/>
        <v>14884.46802</v>
      </c>
      <c r="M50" s="15">
        <f t="shared" si="42"/>
        <v>255033.74060999998</v>
      </c>
      <c r="N50" s="40">
        <v>278631</v>
      </c>
      <c r="O50" s="43">
        <f t="shared" si="43"/>
        <v>360.23039999999997</v>
      </c>
      <c r="P50" s="15">
        <f t="shared" si="44"/>
        <v>615.39840000000004</v>
      </c>
      <c r="Q50" s="15">
        <f t="shared" si="45"/>
        <v>10544.3712</v>
      </c>
      <c r="R50" s="40">
        <v>11520</v>
      </c>
      <c r="S50" s="43">
        <f t="shared" si="47"/>
        <v>14243.234839999999</v>
      </c>
      <c r="T50" s="15">
        <f t="shared" si="48"/>
        <v>24332.382639999996</v>
      </c>
      <c r="U50" s="15">
        <f t="shared" si="49"/>
        <v>416916.38251999993</v>
      </c>
      <c r="V50" s="47">
        <f t="shared" si="50"/>
        <v>455492</v>
      </c>
      <c r="X50" s="84">
        <f t="shared" si="51"/>
        <v>165341</v>
      </c>
      <c r="Y50" s="84">
        <f t="shared" si="52"/>
        <v>278631</v>
      </c>
      <c r="Z50" s="84">
        <f t="shared" si="53"/>
        <v>11520</v>
      </c>
    </row>
    <row r="51" spans="1:26" ht="20.25" customHeight="1" x14ac:dyDescent="0.2">
      <c r="A51" s="16" t="s">
        <v>53</v>
      </c>
      <c r="B51" s="27">
        <v>0.10236000000000001</v>
      </c>
      <c r="C51" s="27">
        <v>7.374E-2</v>
      </c>
      <c r="D51" s="27">
        <v>0.82389999999999997</v>
      </c>
      <c r="E51" s="27">
        <f t="shared" si="46"/>
        <v>1</v>
      </c>
      <c r="F51" s="29">
        <v>888919</v>
      </c>
      <c r="G51" s="45">
        <f t="shared" si="37"/>
        <v>8398.2285600000014</v>
      </c>
      <c r="H51" s="44">
        <f t="shared" si="38"/>
        <v>6050.07204</v>
      </c>
      <c r="I51" s="44">
        <f t="shared" si="39"/>
        <v>67597.699399999998</v>
      </c>
      <c r="J51" s="46">
        <v>82046</v>
      </c>
      <c r="K51" s="43">
        <f t="shared" si="40"/>
        <v>4134.2180400000007</v>
      </c>
      <c r="L51" s="15">
        <f t="shared" si="41"/>
        <v>2978.2848600000002</v>
      </c>
      <c r="M51" s="15">
        <f t="shared" si="42"/>
        <v>33276.497100000001</v>
      </c>
      <c r="N51" s="40">
        <v>40389</v>
      </c>
      <c r="O51" s="43">
        <f t="shared" si="43"/>
        <v>388.14912000000004</v>
      </c>
      <c r="P51" s="15">
        <f t="shared" si="44"/>
        <v>279.62207999999998</v>
      </c>
      <c r="Q51" s="15">
        <f t="shared" si="45"/>
        <v>3124.2287999999999</v>
      </c>
      <c r="R51" s="40">
        <v>3792</v>
      </c>
      <c r="S51" s="43">
        <f t="shared" si="47"/>
        <v>12920.595720000003</v>
      </c>
      <c r="T51" s="15">
        <f t="shared" si="48"/>
        <v>9307.9789799999999</v>
      </c>
      <c r="U51" s="15">
        <f t="shared" si="49"/>
        <v>103998.42529999999</v>
      </c>
      <c r="V51" s="47">
        <f t="shared" si="50"/>
        <v>126227</v>
      </c>
      <c r="X51" s="84">
        <f t="shared" si="51"/>
        <v>82046</v>
      </c>
      <c r="Y51" s="84">
        <f t="shared" si="52"/>
        <v>40389</v>
      </c>
      <c r="Z51" s="84">
        <f t="shared" si="53"/>
        <v>3792</v>
      </c>
    </row>
    <row r="52" spans="1:26" ht="20.25" customHeight="1" thickBot="1" x14ac:dyDescent="0.25">
      <c r="A52" s="10" t="s">
        <v>54</v>
      </c>
      <c r="B52" s="11"/>
      <c r="C52" s="11"/>
      <c r="D52" s="11"/>
      <c r="E52" s="11"/>
      <c r="F52" s="29">
        <f t="shared" ref="F52" si="54">SUM(F43:F51)</f>
        <v>18568833</v>
      </c>
      <c r="G52" s="33">
        <f t="shared" ref="G52:V52" si="55">SUM(G43:G51)</f>
        <v>29596.833000000006</v>
      </c>
      <c r="H52" s="30">
        <f t="shared" si="55"/>
        <v>71527.04449</v>
      </c>
      <c r="I52" s="30">
        <f t="shared" si="55"/>
        <v>804667.12251000002</v>
      </c>
      <c r="J52" s="30">
        <f t="shared" si="55"/>
        <v>905791</v>
      </c>
      <c r="K52" s="33">
        <f t="shared" si="55"/>
        <v>65322.638569999996</v>
      </c>
      <c r="L52" s="30">
        <f t="shared" si="55"/>
        <v>150861.69702000002</v>
      </c>
      <c r="M52" s="30">
        <f t="shared" si="55"/>
        <v>1189413.66441</v>
      </c>
      <c r="N52" s="38">
        <f t="shared" si="55"/>
        <v>1405598</v>
      </c>
      <c r="O52" s="33">
        <f t="shared" si="55"/>
        <v>2140.2059300000001</v>
      </c>
      <c r="P52" s="38">
        <f t="shared" si="55"/>
        <v>4708.2281800000001</v>
      </c>
      <c r="Q52" s="38">
        <f t="shared" si="55"/>
        <v>41187.565889999998</v>
      </c>
      <c r="R52" s="38">
        <f t="shared" si="55"/>
        <v>48036</v>
      </c>
      <c r="S52" s="33">
        <f t="shared" si="55"/>
        <v>97059.677500000005</v>
      </c>
      <c r="T52" s="38">
        <f t="shared" si="55"/>
        <v>227096.96969</v>
      </c>
      <c r="U52" s="38">
        <f t="shared" si="55"/>
        <v>2035268.3528100001</v>
      </c>
      <c r="V52" s="38">
        <f t="shared" si="55"/>
        <v>2359425</v>
      </c>
      <c r="X52" s="85">
        <f t="shared" si="51"/>
        <v>905791</v>
      </c>
      <c r="Y52" s="85">
        <f t="shared" si="52"/>
        <v>1405598</v>
      </c>
      <c r="Z52" s="85">
        <f t="shared" si="53"/>
        <v>48036</v>
      </c>
    </row>
    <row r="54" spans="1:26" x14ac:dyDescent="0.2">
      <c r="A54" s="13" t="s">
        <v>92</v>
      </c>
    </row>
    <row r="56" spans="1:26" ht="42" customHeight="1" thickBot="1" x14ac:dyDescent="0.25">
      <c r="A56" s="162" t="s">
        <v>39</v>
      </c>
      <c r="B56" s="163" t="s">
        <v>40</v>
      </c>
      <c r="C56" s="164"/>
      <c r="D56" s="164"/>
      <c r="E56" s="164"/>
      <c r="F56" s="165" t="s">
        <v>93</v>
      </c>
    </row>
    <row r="57" spans="1:26" ht="13.5" thickBot="1" x14ac:dyDescent="0.25">
      <c r="A57" s="162"/>
      <c r="B57" s="163" t="s">
        <v>41</v>
      </c>
      <c r="C57" s="163" t="s">
        <v>61</v>
      </c>
      <c r="D57" s="163" t="s">
        <v>42</v>
      </c>
      <c r="E57" s="163" t="s">
        <v>43</v>
      </c>
      <c r="F57" s="166"/>
      <c r="G57" s="169" t="s">
        <v>58</v>
      </c>
      <c r="H57" s="170"/>
      <c r="I57" s="170"/>
      <c r="J57" s="170"/>
      <c r="K57" s="170"/>
      <c r="L57" s="170"/>
      <c r="M57" s="170"/>
      <c r="N57" s="170"/>
      <c r="O57" s="170"/>
      <c r="P57" s="170"/>
      <c r="Q57" s="170"/>
      <c r="R57" s="170"/>
      <c r="S57" s="170"/>
      <c r="T57" s="170"/>
      <c r="U57" s="170"/>
      <c r="V57" s="171"/>
      <c r="X57" s="9" t="s">
        <v>44</v>
      </c>
      <c r="Y57" s="9" t="s">
        <v>62</v>
      </c>
      <c r="Z57" s="9" t="s">
        <v>97</v>
      </c>
    </row>
    <row r="58" spans="1:26" x14ac:dyDescent="0.2">
      <c r="A58" s="162"/>
      <c r="B58" s="164"/>
      <c r="C58" s="164"/>
      <c r="D58" s="164"/>
      <c r="E58" s="164"/>
      <c r="F58" s="166"/>
      <c r="G58" s="178" t="s">
        <v>44</v>
      </c>
      <c r="H58" s="179"/>
      <c r="I58" s="179"/>
      <c r="J58" s="180"/>
      <c r="K58" s="167" t="s">
        <v>62</v>
      </c>
      <c r="L58" s="168"/>
      <c r="M58" s="168"/>
      <c r="N58" s="168"/>
      <c r="O58" s="167" t="s">
        <v>63</v>
      </c>
      <c r="P58" s="168"/>
      <c r="Q58" s="168"/>
      <c r="R58" s="168"/>
      <c r="S58" s="172" t="s">
        <v>43</v>
      </c>
      <c r="T58" s="173"/>
      <c r="U58" s="173"/>
      <c r="V58" s="173"/>
      <c r="X58" s="9"/>
      <c r="Y58" s="9"/>
      <c r="Z58" s="9"/>
    </row>
    <row r="59" spans="1:26" ht="26.25" customHeight="1" x14ac:dyDescent="0.2">
      <c r="A59" s="26"/>
      <c r="B59" s="71"/>
      <c r="C59" s="71"/>
      <c r="D59" s="71"/>
      <c r="E59" s="71"/>
      <c r="F59" s="72"/>
      <c r="G59" s="21" t="s">
        <v>41</v>
      </c>
      <c r="H59" s="12" t="s">
        <v>65</v>
      </c>
      <c r="I59" s="12" t="s">
        <v>42</v>
      </c>
      <c r="J59" s="19" t="s">
        <v>0</v>
      </c>
      <c r="K59" s="21" t="s">
        <v>41</v>
      </c>
      <c r="L59" s="12" t="s">
        <v>65</v>
      </c>
      <c r="M59" s="12" t="s">
        <v>42</v>
      </c>
      <c r="N59" s="19" t="s">
        <v>0</v>
      </c>
      <c r="O59" s="21" t="s">
        <v>41</v>
      </c>
      <c r="P59" s="12" t="s">
        <v>65</v>
      </c>
      <c r="Q59" s="12" t="s">
        <v>42</v>
      </c>
      <c r="R59" s="19" t="s">
        <v>0</v>
      </c>
      <c r="S59" s="21" t="s">
        <v>41</v>
      </c>
      <c r="T59" s="12" t="s">
        <v>65</v>
      </c>
      <c r="U59" s="12" t="s">
        <v>42</v>
      </c>
      <c r="V59" s="19" t="s">
        <v>0</v>
      </c>
      <c r="X59" s="9"/>
      <c r="Y59" s="9"/>
      <c r="Z59" s="9"/>
    </row>
    <row r="60" spans="1:26" ht="32.25" customHeight="1" x14ac:dyDescent="0.2">
      <c r="A60" s="16" t="s">
        <v>45</v>
      </c>
      <c r="B60" s="27">
        <v>0.18604999999999999</v>
      </c>
      <c r="C60" s="27">
        <v>0.15603</v>
      </c>
      <c r="D60" s="27">
        <v>0.65791999999999995</v>
      </c>
      <c r="E60" s="27">
        <f>B60+C60+D60</f>
        <v>1</v>
      </c>
      <c r="F60" s="29">
        <v>3002093</v>
      </c>
      <c r="G60" s="49">
        <f t="shared" ref="G60:G68" si="56">J60*B7</f>
        <v>15203.633899999999</v>
      </c>
      <c r="H60" s="48">
        <f t="shared" ref="H60:H68" si="57">J60*C7</f>
        <v>12750.45954</v>
      </c>
      <c r="I60" s="48">
        <f t="shared" ref="I60:I68" si="58">J60*D7</f>
        <v>53763.906559999996</v>
      </c>
      <c r="J60" s="41">
        <v>81718</v>
      </c>
      <c r="K60" s="43">
        <f t="shared" ref="K60:K68" si="59">N60*B7</f>
        <v>119199.81634999999</v>
      </c>
      <c r="L60" s="15">
        <f t="shared" ref="L60:L68" si="60">N60*C7</f>
        <v>99966.392609999995</v>
      </c>
      <c r="M60" s="15">
        <f t="shared" ref="M60:M68" si="61">N60*D7</f>
        <v>421520.79103999998</v>
      </c>
      <c r="N60" s="41">
        <v>640687</v>
      </c>
      <c r="O60" s="43">
        <f t="shared" ref="O60:O68" si="62">R60*B7</f>
        <v>0</v>
      </c>
      <c r="P60" s="15">
        <f t="shared" ref="P60:P68" si="63">R60*C7</f>
        <v>0</v>
      </c>
      <c r="Q60" s="15">
        <f t="shared" ref="Q60:Q68" si="64">R60*D7</f>
        <v>0</v>
      </c>
      <c r="R60" s="40">
        <v>0</v>
      </c>
      <c r="S60" s="43">
        <f>G60+K60+O60</f>
        <v>134403.45024999999</v>
      </c>
      <c r="T60" s="15">
        <f>H60+L60+P60</f>
        <v>112716.85214999999</v>
      </c>
      <c r="U60" s="15">
        <f>I60+M60+Q60</f>
        <v>475284.69759999996</v>
      </c>
      <c r="V60" s="20">
        <f>J60+N60+R60</f>
        <v>722405</v>
      </c>
      <c r="X60" s="84">
        <f>J60</f>
        <v>81718</v>
      </c>
      <c r="Y60" s="84">
        <f>N60</f>
        <v>640687</v>
      </c>
      <c r="Z60" s="84">
        <f>R60</f>
        <v>0</v>
      </c>
    </row>
    <row r="61" spans="1:26" ht="32.25" customHeight="1" x14ac:dyDescent="0.2">
      <c r="A61" s="16" t="s">
        <v>47</v>
      </c>
      <c r="B61" s="27">
        <v>0.10317</v>
      </c>
      <c r="C61" s="27">
        <v>5.6680000000000001E-2</v>
      </c>
      <c r="D61" s="27">
        <v>0.84014999999999995</v>
      </c>
      <c r="E61" s="27">
        <f t="shared" ref="E61:E68" si="65">B61+C61+D61</f>
        <v>1</v>
      </c>
      <c r="F61" s="29">
        <v>288813</v>
      </c>
      <c r="G61" s="49">
        <f t="shared" si="56"/>
        <v>0</v>
      </c>
      <c r="H61" s="48">
        <f t="shared" si="57"/>
        <v>0</v>
      </c>
      <c r="I61" s="48">
        <f t="shared" si="58"/>
        <v>0</v>
      </c>
      <c r="J61" s="41">
        <v>0</v>
      </c>
      <c r="K61" s="43">
        <f t="shared" si="59"/>
        <v>6075.5781299999999</v>
      </c>
      <c r="L61" s="15">
        <f t="shared" si="60"/>
        <v>3337.82852</v>
      </c>
      <c r="M61" s="15">
        <f t="shared" si="61"/>
        <v>49475.593349999996</v>
      </c>
      <c r="N61" s="41">
        <v>58889</v>
      </c>
      <c r="O61" s="43">
        <f t="shared" si="62"/>
        <v>0</v>
      </c>
      <c r="P61" s="15">
        <f t="shared" si="63"/>
        <v>0</v>
      </c>
      <c r="Q61" s="15">
        <f t="shared" si="64"/>
        <v>0</v>
      </c>
      <c r="R61" s="40">
        <v>0</v>
      </c>
      <c r="S61" s="43">
        <f t="shared" ref="S61:S68" si="66">G61+K61+O61</f>
        <v>6075.5781299999999</v>
      </c>
      <c r="T61" s="15">
        <f t="shared" ref="T61:T68" si="67">H61+L61+P61</f>
        <v>3337.82852</v>
      </c>
      <c r="U61" s="15">
        <f t="shared" ref="U61:U68" si="68">I61+M61+Q61</f>
        <v>49475.593349999996</v>
      </c>
      <c r="V61" s="20">
        <f t="shared" ref="V61:V68" si="69">J61+N61+R61</f>
        <v>58889</v>
      </c>
      <c r="X61" s="84">
        <f t="shared" ref="X61:X69" si="70">J61</f>
        <v>0</v>
      </c>
      <c r="Y61" s="84">
        <f t="shared" ref="Y61:Y69" si="71">N61</f>
        <v>58889</v>
      </c>
      <c r="Z61" s="84">
        <f t="shared" ref="Z61:Z69" si="72">R61</f>
        <v>0</v>
      </c>
    </row>
    <row r="62" spans="1:26" ht="23.25" customHeight="1" x14ac:dyDescent="0.2">
      <c r="A62" s="16" t="s">
        <v>48</v>
      </c>
      <c r="B62" s="27">
        <v>0.19394</v>
      </c>
      <c r="C62" s="27">
        <v>0.12784999999999999</v>
      </c>
      <c r="D62" s="27">
        <v>0.67820999999999998</v>
      </c>
      <c r="E62" s="27">
        <f t="shared" si="65"/>
        <v>1</v>
      </c>
      <c r="F62" s="29">
        <v>229921</v>
      </c>
      <c r="G62" s="49">
        <f t="shared" si="56"/>
        <v>2232.4433399999998</v>
      </c>
      <c r="H62" s="48">
        <f t="shared" si="57"/>
        <v>1471.6813499999998</v>
      </c>
      <c r="I62" s="48">
        <f t="shared" si="58"/>
        <v>7806.8753099999994</v>
      </c>
      <c r="J62" s="41">
        <v>11511</v>
      </c>
      <c r="K62" s="43">
        <f t="shared" si="59"/>
        <v>3522.1443399999998</v>
      </c>
      <c r="L62" s="15">
        <f t="shared" si="60"/>
        <v>2321.8838499999997</v>
      </c>
      <c r="M62" s="15">
        <f t="shared" si="61"/>
        <v>12316.971809999999</v>
      </c>
      <c r="N62" s="41">
        <v>18161</v>
      </c>
      <c r="O62" s="43">
        <f t="shared" si="62"/>
        <v>1514.8653400000001</v>
      </c>
      <c r="P62" s="15">
        <f t="shared" si="63"/>
        <v>998.63634999999988</v>
      </c>
      <c r="Q62" s="15">
        <f t="shared" si="64"/>
        <v>5297.4983099999999</v>
      </c>
      <c r="R62" s="40">
        <v>7811</v>
      </c>
      <c r="S62" s="43">
        <f t="shared" si="66"/>
        <v>7269.4530199999999</v>
      </c>
      <c r="T62" s="15">
        <f t="shared" si="67"/>
        <v>4792.2015499999998</v>
      </c>
      <c r="U62" s="15">
        <f t="shared" si="68"/>
        <v>25421.345429999998</v>
      </c>
      <c r="V62" s="20">
        <f t="shared" si="69"/>
        <v>37483</v>
      </c>
      <c r="X62" s="84">
        <f t="shared" si="70"/>
        <v>11511</v>
      </c>
      <c r="Y62" s="84">
        <f t="shared" si="71"/>
        <v>18161</v>
      </c>
      <c r="Z62" s="84">
        <f t="shared" si="72"/>
        <v>7811</v>
      </c>
    </row>
    <row r="63" spans="1:26" ht="23.25" customHeight="1" x14ac:dyDescent="0.2">
      <c r="A63" s="16" t="s">
        <v>46</v>
      </c>
      <c r="B63" s="27">
        <v>0.14801</v>
      </c>
      <c r="C63" s="27">
        <v>5.1470000000000002E-2</v>
      </c>
      <c r="D63" s="27">
        <v>0.80052000000000001</v>
      </c>
      <c r="E63" s="27">
        <f t="shared" si="65"/>
        <v>1</v>
      </c>
      <c r="F63" s="29">
        <v>39439</v>
      </c>
      <c r="G63" s="49">
        <f t="shared" si="56"/>
        <v>475.40812</v>
      </c>
      <c r="H63" s="48">
        <f t="shared" si="57"/>
        <v>165.32164</v>
      </c>
      <c r="I63" s="48">
        <f t="shared" si="58"/>
        <v>2571.2702399999998</v>
      </c>
      <c r="J63" s="41">
        <v>3212</v>
      </c>
      <c r="K63" s="43">
        <f t="shared" si="59"/>
        <v>621.79001000000005</v>
      </c>
      <c r="L63" s="15">
        <f t="shared" si="60"/>
        <v>216.22547</v>
      </c>
      <c r="M63" s="15">
        <f t="shared" si="61"/>
        <v>3362.98452</v>
      </c>
      <c r="N63" s="41">
        <v>4201</v>
      </c>
      <c r="O63" s="43">
        <f t="shared" si="62"/>
        <v>29.453990000000001</v>
      </c>
      <c r="P63" s="15">
        <f t="shared" si="63"/>
        <v>10.24253</v>
      </c>
      <c r="Q63" s="15">
        <f t="shared" si="64"/>
        <v>159.30348000000001</v>
      </c>
      <c r="R63" s="40">
        <v>199</v>
      </c>
      <c r="S63" s="43">
        <f t="shared" si="66"/>
        <v>1126.65212</v>
      </c>
      <c r="T63" s="15">
        <f t="shared" si="67"/>
        <v>391.78963999999996</v>
      </c>
      <c r="U63" s="15">
        <f t="shared" si="68"/>
        <v>6093.5582399999994</v>
      </c>
      <c r="V63" s="20">
        <f t="shared" si="69"/>
        <v>7612</v>
      </c>
      <c r="X63" s="84">
        <f t="shared" si="70"/>
        <v>3212</v>
      </c>
      <c r="Y63" s="84">
        <f t="shared" si="71"/>
        <v>4201</v>
      </c>
      <c r="Z63" s="84">
        <f t="shared" si="72"/>
        <v>199</v>
      </c>
    </row>
    <row r="64" spans="1:26" ht="23.25" customHeight="1" x14ac:dyDescent="0.2">
      <c r="A64" s="16" t="s">
        <v>51</v>
      </c>
      <c r="B64" s="27">
        <v>6.5399999999999998E-3</v>
      </c>
      <c r="C64" s="27">
        <v>0.24085999999999999</v>
      </c>
      <c r="D64" s="27">
        <v>0.75260000000000005</v>
      </c>
      <c r="E64" s="27">
        <f t="shared" si="65"/>
        <v>1</v>
      </c>
      <c r="F64" s="29">
        <v>1864553</v>
      </c>
      <c r="G64" s="49">
        <f t="shared" si="56"/>
        <v>1199.65182</v>
      </c>
      <c r="H64" s="48">
        <f t="shared" si="57"/>
        <v>44181.672379999996</v>
      </c>
      <c r="I64" s="48">
        <f t="shared" si="58"/>
        <v>138051.6758</v>
      </c>
      <c r="J64" s="41">
        <v>183433</v>
      </c>
      <c r="K64" s="43">
        <f t="shared" si="59"/>
        <v>1586.277</v>
      </c>
      <c r="L64" s="15">
        <f t="shared" si="60"/>
        <v>58420.593000000001</v>
      </c>
      <c r="M64" s="15">
        <f t="shared" si="61"/>
        <v>182543.13</v>
      </c>
      <c r="N64" s="41">
        <v>242550</v>
      </c>
      <c r="O64" s="43">
        <f t="shared" si="62"/>
        <v>35.13288</v>
      </c>
      <c r="P64" s="15">
        <f t="shared" si="63"/>
        <v>1293.8999199999998</v>
      </c>
      <c r="Q64" s="15">
        <f t="shared" si="64"/>
        <v>4042.9672</v>
      </c>
      <c r="R64" s="40">
        <v>5372</v>
      </c>
      <c r="S64" s="43">
        <f t="shared" si="66"/>
        <v>2821.0617000000002</v>
      </c>
      <c r="T64" s="15">
        <f t="shared" si="67"/>
        <v>103896.16529999999</v>
      </c>
      <c r="U64" s="15">
        <f>I64+M64+Q64</f>
        <v>324637.77299999999</v>
      </c>
      <c r="V64" s="20">
        <f t="shared" si="69"/>
        <v>431355</v>
      </c>
      <c r="X64" s="84">
        <f t="shared" si="70"/>
        <v>183433</v>
      </c>
      <c r="Y64" s="84">
        <f t="shared" si="71"/>
        <v>242550</v>
      </c>
      <c r="Z64" s="84">
        <f t="shared" si="72"/>
        <v>5372</v>
      </c>
    </row>
    <row r="65" spans="1:26" ht="23.25" customHeight="1" x14ac:dyDescent="0.2">
      <c r="A65" s="16" t="s">
        <v>52</v>
      </c>
      <c r="B65" s="27">
        <v>1.5E-3</v>
      </c>
      <c r="C65" s="27">
        <v>6.9699999999999996E-3</v>
      </c>
      <c r="D65" s="27">
        <v>0.99153000000000002</v>
      </c>
      <c r="E65" s="27">
        <f t="shared" si="65"/>
        <v>1</v>
      </c>
      <c r="F65" s="29">
        <v>3844209</v>
      </c>
      <c r="G65" s="49">
        <f t="shared" si="56"/>
        <v>465.71850000000001</v>
      </c>
      <c r="H65" s="48">
        <f t="shared" si="57"/>
        <v>2164.03863</v>
      </c>
      <c r="I65" s="48">
        <f t="shared" si="58"/>
        <v>307849.24287000002</v>
      </c>
      <c r="J65" s="41">
        <v>310479</v>
      </c>
      <c r="K65" s="43">
        <f t="shared" si="59"/>
        <v>456.84899999999999</v>
      </c>
      <c r="L65" s="15">
        <f t="shared" si="60"/>
        <v>2122.8250199999998</v>
      </c>
      <c r="M65" s="15">
        <f t="shared" si="61"/>
        <v>301986.32598000002</v>
      </c>
      <c r="N65" s="41">
        <v>304566</v>
      </c>
      <c r="O65" s="43">
        <f t="shared" si="62"/>
        <v>11.691000000000001</v>
      </c>
      <c r="P65" s="15">
        <f t="shared" si="63"/>
        <v>54.324179999999998</v>
      </c>
      <c r="Q65" s="15">
        <f t="shared" si="64"/>
        <v>7727.9848200000006</v>
      </c>
      <c r="R65" s="40">
        <v>7794</v>
      </c>
      <c r="S65" s="43">
        <f t="shared" si="66"/>
        <v>934.25850000000003</v>
      </c>
      <c r="T65" s="15">
        <f t="shared" si="67"/>
        <v>4341.1878299999989</v>
      </c>
      <c r="U65" s="15">
        <f t="shared" si="68"/>
        <v>617563.55367000005</v>
      </c>
      <c r="V65" s="20">
        <f t="shared" si="69"/>
        <v>622839</v>
      </c>
      <c r="X65" s="84">
        <f t="shared" si="70"/>
        <v>310479</v>
      </c>
      <c r="Y65" s="84">
        <f t="shared" si="71"/>
        <v>304566</v>
      </c>
      <c r="Z65" s="84">
        <f t="shared" si="72"/>
        <v>7794</v>
      </c>
    </row>
    <row r="66" spans="1:26" ht="23.25" customHeight="1" x14ac:dyDescent="0.2">
      <c r="A66" s="16" t="s">
        <v>49</v>
      </c>
      <c r="B66" s="27">
        <v>8.3899999999999999E-3</v>
      </c>
      <c r="C66" s="27">
        <v>0.13835</v>
      </c>
      <c r="D66" s="27">
        <v>0.85326000000000002</v>
      </c>
      <c r="E66" s="27">
        <f t="shared" si="65"/>
        <v>1</v>
      </c>
      <c r="F66" s="29">
        <v>4411828</v>
      </c>
      <c r="G66" s="49">
        <f t="shared" si="56"/>
        <v>1971.1717699999999</v>
      </c>
      <c r="H66" s="48">
        <f t="shared" si="57"/>
        <v>32504.36405</v>
      </c>
      <c r="I66" s="48">
        <f t="shared" si="58"/>
        <v>200467.46418000001</v>
      </c>
      <c r="J66" s="41">
        <v>234943</v>
      </c>
      <c r="K66" s="43">
        <f t="shared" si="59"/>
        <v>5379.9700400000002</v>
      </c>
      <c r="L66" s="15">
        <f t="shared" si="60"/>
        <v>88715.000599999999</v>
      </c>
      <c r="M66" s="15">
        <f t="shared" si="61"/>
        <v>547141.02936000004</v>
      </c>
      <c r="N66" s="41">
        <v>641236</v>
      </c>
      <c r="O66" s="43">
        <f t="shared" si="62"/>
        <v>311.66332999999997</v>
      </c>
      <c r="P66" s="15">
        <f t="shared" si="63"/>
        <v>5139.2874499999998</v>
      </c>
      <c r="Q66" s="15">
        <f t="shared" si="64"/>
        <v>31696.049220000001</v>
      </c>
      <c r="R66" s="40">
        <v>37147</v>
      </c>
      <c r="S66" s="43">
        <f t="shared" si="66"/>
        <v>7662.8051400000004</v>
      </c>
      <c r="T66" s="15">
        <f t="shared" si="67"/>
        <v>126358.65210000001</v>
      </c>
      <c r="U66" s="15">
        <f t="shared" si="68"/>
        <v>779304.5427600001</v>
      </c>
      <c r="V66" s="20">
        <f t="shared" si="69"/>
        <v>913326</v>
      </c>
      <c r="X66" s="84">
        <f t="shared" si="70"/>
        <v>234943</v>
      </c>
      <c r="Y66" s="84">
        <f t="shared" si="71"/>
        <v>641236</v>
      </c>
      <c r="Z66" s="84">
        <f t="shared" si="72"/>
        <v>37147</v>
      </c>
    </row>
    <row r="67" spans="1:26" ht="23.25" customHeight="1" x14ac:dyDescent="0.2">
      <c r="A67" s="16" t="s">
        <v>50</v>
      </c>
      <c r="B67" s="27">
        <v>3.1269999999999999E-2</v>
      </c>
      <c r="C67" s="27">
        <v>5.3420000000000002E-2</v>
      </c>
      <c r="D67" s="27">
        <v>0.91530999999999996</v>
      </c>
      <c r="E67" s="27">
        <f t="shared" si="65"/>
        <v>1</v>
      </c>
      <c r="F67" s="29">
        <v>3999058</v>
      </c>
      <c r="G67" s="49">
        <f t="shared" si="56"/>
        <v>7666.80987</v>
      </c>
      <c r="H67" s="48">
        <f t="shared" si="57"/>
        <v>13097.569020000001</v>
      </c>
      <c r="I67" s="48">
        <f t="shared" si="58"/>
        <v>224416.62110999998</v>
      </c>
      <c r="J67" s="41">
        <v>245181</v>
      </c>
      <c r="K67" s="43">
        <f t="shared" si="59"/>
        <v>12920.04479</v>
      </c>
      <c r="L67" s="15">
        <f t="shared" si="60"/>
        <v>22071.91534</v>
      </c>
      <c r="M67" s="15">
        <f t="shared" si="61"/>
        <v>378185.03986999998</v>
      </c>
      <c r="N67" s="41">
        <v>413177</v>
      </c>
      <c r="O67" s="43">
        <f t="shared" si="62"/>
        <v>534.18540999999993</v>
      </c>
      <c r="P67" s="15">
        <f t="shared" si="63"/>
        <v>912.57386000000008</v>
      </c>
      <c r="Q67" s="15">
        <f t="shared" si="64"/>
        <v>15636.24073</v>
      </c>
      <c r="R67" s="40">
        <v>17083</v>
      </c>
      <c r="S67" s="43">
        <f t="shared" si="66"/>
        <v>21121.040069999999</v>
      </c>
      <c r="T67" s="15">
        <f t="shared" si="67"/>
        <v>36082.058219999999</v>
      </c>
      <c r="U67" s="15">
        <f t="shared" si="68"/>
        <v>618237.90170999989</v>
      </c>
      <c r="V67" s="20">
        <f t="shared" si="69"/>
        <v>675441</v>
      </c>
      <c r="X67" s="84">
        <f t="shared" si="70"/>
        <v>245181</v>
      </c>
      <c r="Y67" s="84">
        <f t="shared" si="71"/>
        <v>413177</v>
      </c>
      <c r="Z67" s="84">
        <f t="shared" si="72"/>
        <v>17083</v>
      </c>
    </row>
    <row r="68" spans="1:26" ht="23.25" customHeight="1" x14ac:dyDescent="0.2">
      <c r="A68" s="16" t="s">
        <v>53</v>
      </c>
      <c r="B68" s="27">
        <v>0.10236000000000001</v>
      </c>
      <c r="C68" s="27">
        <v>7.374E-2</v>
      </c>
      <c r="D68" s="27">
        <v>0.82389999999999997</v>
      </c>
      <c r="E68" s="27">
        <f t="shared" si="65"/>
        <v>1</v>
      </c>
      <c r="F68" s="29">
        <v>888919</v>
      </c>
      <c r="G68" s="49">
        <f t="shared" si="56"/>
        <v>11313.953160000001</v>
      </c>
      <c r="H68" s="48">
        <f t="shared" si="57"/>
        <v>8150.5559400000002</v>
      </c>
      <c r="I68" s="48">
        <f t="shared" si="58"/>
        <v>91066.49089999999</v>
      </c>
      <c r="J68" s="41">
        <v>110531</v>
      </c>
      <c r="K68" s="43">
        <f t="shared" si="59"/>
        <v>5569.5099600000003</v>
      </c>
      <c r="L68" s="15">
        <f t="shared" si="60"/>
        <v>4012.2671399999999</v>
      </c>
      <c r="M68" s="15">
        <f t="shared" si="61"/>
        <v>44829.222900000001</v>
      </c>
      <c r="N68" s="41">
        <v>54411</v>
      </c>
      <c r="O68" s="43">
        <f t="shared" si="62"/>
        <v>522.85487999999998</v>
      </c>
      <c r="P68" s="15">
        <f t="shared" si="63"/>
        <v>376.66392000000002</v>
      </c>
      <c r="Q68" s="15">
        <f t="shared" si="64"/>
        <v>4208.4812000000002</v>
      </c>
      <c r="R68" s="40">
        <v>5108</v>
      </c>
      <c r="S68" s="43">
        <f t="shared" si="66"/>
        <v>17406.317999999999</v>
      </c>
      <c r="T68" s="15">
        <f t="shared" si="67"/>
        <v>12539.487000000001</v>
      </c>
      <c r="U68" s="15">
        <f t="shared" si="68"/>
        <v>140104.19500000001</v>
      </c>
      <c r="V68" s="20">
        <f t="shared" si="69"/>
        <v>170050</v>
      </c>
      <c r="X68" s="84">
        <f t="shared" si="70"/>
        <v>110531</v>
      </c>
      <c r="Y68" s="84">
        <f t="shared" si="71"/>
        <v>54411</v>
      </c>
      <c r="Z68" s="84">
        <f t="shared" si="72"/>
        <v>5108</v>
      </c>
    </row>
    <row r="69" spans="1:26" ht="23.25" customHeight="1" thickBot="1" x14ac:dyDescent="0.25">
      <c r="A69" s="10" t="s">
        <v>54</v>
      </c>
      <c r="B69" s="11"/>
      <c r="C69" s="11"/>
      <c r="D69" s="11"/>
      <c r="E69" s="11"/>
      <c r="F69" s="29">
        <f t="shared" ref="F69" si="73">SUM(F60:F68)</f>
        <v>18568833</v>
      </c>
      <c r="G69" s="22">
        <f t="shared" ref="G69:V69" si="74">SUM(G60:G68)</f>
        <v>40528.790479999996</v>
      </c>
      <c r="H69" s="23">
        <f t="shared" si="74"/>
        <v>114485.66254999999</v>
      </c>
      <c r="I69" s="23">
        <f t="shared" si="74"/>
        <v>1025993.5469699999</v>
      </c>
      <c r="J69" s="30">
        <f t="shared" si="74"/>
        <v>1181008</v>
      </c>
      <c r="K69" s="33">
        <f t="shared" si="74"/>
        <v>155331.97962</v>
      </c>
      <c r="L69" s="30">
        <f t="shared" si="74"/>
        <v>281184.93154999998</v>
      </c>
      <c r="M69" s="30">
        <f t="shared" si="74"/>
        <v>1941361.08883</v>
      </c>
      <c r="N69" s="30">
        <f t="shared" si="74"/>
        <v>2377878</v>
      </c>
      <c r="O69" s="33">
        <f t="shared" si="74"/>
        <v>2959.84683</v>
      </c>
      <c r="P69" s="30">
        <f t="shared" si="74"/>
        <v>8785.6282100000008</v>
      </c>
      <c r="Q69" s="30">
        <f t="shared" si="74"/>
        <v>68768.524959999995</v>
      </c>
      <c r="R69" s="30">
        <f t="shared" si="74"/>
        <v>80514</v>
      </c>
      <c r="S69" s="33">
        <f t="shared" si="74"/>
        <v>198820.61692999999</v>
      </c>
      <c r="T69" s="30">
        <f t="shared" si="74"/>
        <v>404456.22231000004</v>
      </c>
      <c r="U69" s="30">
        <f t="shared" si="74"/>
        <v>3036123.1607599999</v>
      </c>
      <c r="V69" s="30">
        <f t="shared" si="74"/>
        <v>3639400</v>
      </c>
      <c r="X69" s="85">
        <f t="shared" si="70"/>
        <v>1181008</v>
      </c>
      <c r="Y69" s="85">
        <f t="shared" si="71"/>
        <v>2377878</v>
      </c>
      <c r="Z69" s="85">
        <f t="shared" si="72"/>
        <v>80514</v>
      </c>
    </row>
    <row r="71" spans="1:26" x14ac:dyDescent="0.2">
      <c r="A71" s="13" t="s">
        <v>92</v>
      </c>
    </row>
    <row r="73" spans="1:26" ht="43.5" customHeight="1" thickBot="1" x14ac:dyDescent="0.25">
      <c r="A73" s="162" t="s">
        <v>39</v>
      </c>
      <c r="B73" s="163" t="s">
        <v>40</v>
      </c>
      <c r="C73" s="164"/>
      <c r="D73" s="164"/>
      <c r="E73" s="164"/>
      <c r="F73" s="165" t="s">
        <v>93</v>
      </c>
    </row>
    <row r="74" spans="1:26" ht="28.5" customHeight="1" thickBot="1" x14ac:dyDescent="0.25">
      <c r="A74" s="162"/>
      <c r="B74" s="163" t="s">
        <v>41</v>
      </c>
      <c r="C74" s="163" t="s">
        <v>61</v>
      </c>
      <c r="D74" s="163" t="s">
        <v>42</v>
      </c>
      <c r="E74" s="163" t="s">
        <v>43</v>
      </c>
      <c r="F74" s="166"/>
      <c r="G74" s="169" t="s">
        <v>59</v>
      </c>
      <c r="H74" s="170"/>
      <c r="I74" s="170"/>
      <c r="J74" s="170"/>
      <c r="K74" s="170"/>
      <c r="L74" s="170"/>
      <c r="M74" s="170"/>
      <c r="N74" s="170"/>
      <c r="O74" s="170"/>
      <c r="P74" s="170"/>
      <c r="Q74" s="170"/>
      <c r="R74" s="170"/>
      <c r="S74" s="170"/>
      <c r="T74" s="170"/>
      <c r="U74" s="170"/>
      <c r="V74" s="171"/>
      <c r="X74" s="9" t="s">
        <v>44</v>
      </c>
      <c r="Y74" s="9" t="s">
        <v>62</v>
      </c>
      <c r="Z74" s="9" t="s">
        <v>97</v>
      </c>
    </row>
    <row r="75" spans="1:26" x14ac:dyDescent="0.2">
      <c r="A75" s="162"/>
      <c r="B75" s="164"/>
      <c r="C75" s="164"/>
      <c r="D75" s="164"/>
      <c r="E75" s="164"/>
      <c r="F75" s="166"/>
      <c r="G75" s="175" t="s">
        <v>44</v>
      </c>
      <c r="H75" s="176"/>
      <c r="I75" s="176"/>
      <c r="J75" s="177"/>
      <c r="K75" s="167" t="s">
        <v>62</v>
      </c>
      <c r="L75" s="168"/>
      <c r="M75" s="168"/>
      <c r="N75" s="168"/>
      <c r="O75" s="167" t="s">
        <v>63</v>
      </c>
      <c r="P75" s="168"/>
      <c r="Q75" s="168"/>
      <c r="R75" s="168"/>
      <c r="S75" s="172" t="s">
        <v>43</v>
      </c>
      <c r="T75" s="173"/>
      <c r="U75" s="173"/>
      <c r="V75" s="173"/>
      <c r="X75" s="9"/>
      <c r="Y75" s="9"/>
      <c r="Z75" s="9"/>
    </row>
    <row r="76" spans="1:26" ht="27" customHeight="1" x14ac:dyDescent="0.2">
      <c r="A76" s="26"/>
      <c r="B76" s="71"/>
      <c r="C76" s="71"/>
      <c r="D76" s="71"/>
      <c r="E76" s="71"/>
      <c r="F76" s="72"/>
      <c r="G76" s="21" t="s">
        <v>41</v>
      </c>
      <c r="H76" s="12" t="s">
        <v>65</v>
      </c>
      <c r="I76" s="12" t="s">
        <v>42</v>
      </c>
      <c r="J76" s="19" t="s">
        <v>0</v>
      </c>
      <c r="K76" s="21" t="s">
        <v>41</v>
      </c>
      <c r="L76" s="12" t="s">
        <v>65</v>
      </c>
      <c r="M76" s="12" t="s">
        <v>42</v>
      </c>
      <c r="N76" s="19" t="s">
        <v>0</v>
      </c>
      <c r="O76" s="21" t="s">
        <v>41</v>
      </c>
      <c r="P76" s="12" t="s">
        <v>65</v>
      </c>
      <c r="Q76" s="12" t="s">
        <v>42</v>
      </c>
      <c r="R76" s="19" t="s">
        <v>0</v>
      </c>
      <c r="S76" s="21" t="s">
        <v>41</v>
      </c>
      <c r="T76" s="12" t="s">
        <v>65</v>
      </c>
      <c r="U76" s="12" t="s">
        <v>42</v>
      </c>
      <c r="V76" s="19" t="s">
        <v>0</v>
      </c>
      <c r="X76" s="9"/>
      <c r="Y76" s="9"/>
      <c r="Z76" s="9"/>
    </row>
    <row r="77" spans="1:26" ht="26.25" customHeight="1" x14ac:dyDescent="0.2">
      <c r="A77" s="16" t="s">
        <v>45</v>
      </c>
      <c r="B77" s="27">
        <v>0.18604999999999999</v>
      </c>
      <c r="C77" s="27">
        <v>0.15603</v>
      </c>
      <c r="D77" s="27">
        <v>0.65791999999999995</v>
      </c>
      <c r="E77" s="27">
        <f>B77+C77+D77</f>
        <v>1</v>
      </c>
      <c r="F77" s="29">
        <v>3002093</v>
      </c>
      <c r="G77" s="49">
        <f t="shared" ref="G77:G85" si="75">J77*B7</f>
        <v>18614.674599999998</v>
      </c>
      <c r="H77" s="48">
        <f t="shared" ref="H77:H85" si="76">J77*C7</f>
        <v>15611.11356</v>
      </c>
      <c r="I77" s="48">
        <f t="shared" ref="I77:I85" si="77">J77*D7</f>
        <v>65826.211839999989</v>
      </c>
      <c r="J77" s="40">
        <v>100052</v>
      </c>
      <c r="K77" s="43">
        <f t="shared" ref="K77:K85" si="78">N77*B7</f>
        <v>79074.598899999997</v>
      </c>
      <c r="L77" s="15">
        <f t="shared" ref="L77:L85" si="79">N77*C7</f>
        <v>66315.558539999998</v>
      </c>
      <c r="M77" s="15">
        <f t="shared" ref="M77:M85" si="80">N77*D7</f>
        <v>279627.84255999996</v>
      </c>
      <c r="N77" s="40">
        <v>425018</v>
      </c>
      <c r="O77" s="43">
        <f t="shared" ref="O77:O85" si="81">R77*B7</f>
        <v>0</v>
      </c>
      <c r="P77" s="15">
        <f t="shared" ref="P77:P85" si="82">R77*C7</f>
        <v>0</v>
      </c>
      <c r="Q77" s="15">
        <f t="shared" ref="Q77:Q85" si="83">R77*D7</f>
        <v>0</v>
      </c>
      <c r="R77" s="40">
        <v>0</v>
      </c>
      <c r="S77" s="43">
        <f t="shared" ref="S77:S85" si="84">V77*B7</f>
        <v>97689.273499999996</v>
      </c>
      <c r="T77" s="15">
        <f t="shared" ref="T77:T85" si="85">V77*C7</f>
        <v>81926.672099999996</v>
      </c>
      <c r="U77" s="15">
        <f t="shared" ref="U77:U85" si="86">V77*D7</f>
        <v>345454.05439999996</v>
      </c>
      <c r="V77" s="47">
        <f>R77+N77+J77</f>
        <v>525070</v>
      </c>
      <c r="X77" s="84">
        <f>J77</f>
        <v>100052</v>
      </c>
      <c r="Y77" s="84">
        <f>N77</f>
        <v>425018</v>
      </c>
      <c r="Z77" s="84">
        <f>R77</f>
        <v>0</v>
      </c>
    </row>
    <row r="78" spans="1:26" ht="37.5" customHeight="1" x14ac:dyDescent="0.2">
      <c r="A78" s="16" t="s">
        <v>47</v>
      </c>
      <c r="B78" s="27">
        <v>0.10317</v>
      </c>
      <c r="C78" s="27">
        <v>5.6680000000000001E-2</v>
      </c>
      <c r="D78" s="27">
        <v>0.84014999999999995</v>
      </c>
      <c r="E78" s="27">
        <f t="shared" ref="E78:E85" si="87">B78+C78+D78</f>
        <v>1</v>
      </c>
      <c r="F78" s="29">
        <v>288813</v>
      </c>
      <c r="G78" s="49">
        <f t="shared" si="75"/>
        <v>0</v>
      </c>
      <c r="H78" s="48">
        <f t="shared" si="76"/>
        <v>0</v>
      </c>
      <c r="I78" s="48">
        <f t="shared" si="77"/>
        <v>0</v>
      </c>
      <c r="J78" s="40">
        <v>0</v>
      </c>
      <c r="K78" s="43">
        <f t="shared" si="78"/>
        <v>8325.1999799999994</v>
      </c>
      <c r="L78" s="15">
        <f t="shared" si="79"/>
        <v>4573.7359200000001</v>
      </c>
      <c r="M78" s="15">
        <f t="shared" si="80"/>
        <v>67795.064100000003</v>
      </c>
      <c r="N78" s="40">
        <v>80694</v>
      </c>
      <c r="O78" s="43">
        <f t="shared" si="81"/>
        <v>0</v>
      </c>
      <c r="P78" s="15">
        <f t="shared" si="82"/>
        <v>0</v>
      </c>
      <c r="Q78" s="15">
        <f t="shared" si="83"/>
        <v>0</v>
      </c>
      <c r="R78" s="40">
        <v>0</v>
      </c>
      <c r="S78" s="43">
        <f t="shared" si="84"/>
        <v>8325.1999799999994</v>
      </c>
      <c r="T78" s="15">
        <f t="shared" si="85"/>
        <v>4573.7359200000001</v>
      </c>
      <c r="U78" s="15">
        <f t="shared" si="86"/>
        <v>67795.064100000003</v>
      </c>
      <c r="V78" s="47">
        <f t="shared" ref="V78:V85" si="88">R78+N78+J78</f>
        <v>80694</v>
      </c>
      <c r="X78" s="84">
        <f t="shared" ref="X78:X86" si="89">J78</f>
        <v>0</v>
      </c>
      <c r="Y78" s="84">
        <f t="shared" ref="Y78:Y86" si="90">N78</f>
        <v>80694</v>
      </c>
      <c r="Z78" s="84">
        <f t="shared" ref="Z78:Z86" si="91">R78</f>
        <v>0</v>
      </c>
    </row>
    <row r="79" spans="1:26" ht="21" customHeight="1" x14ac:dyDescent="0.2">
      <c r="A79" s="16" t="s">
        <v>48</v>
      </c>
      <c r="B79" s="27">
        <v>0.19394</v>
      </c>
      <c r="C79" s="27">
        <v>0.12784999999999999</v>
      </c>
      <c r="D79" s="27">
        <v>0.67820999999999998</v>
      </c>
      <c r="E79" s="27">
        <f t="shared" si="87"/>
        <v>1</v>
      </c>
      <c r="F79" s="29">
        <v>229921</v>
      </c>
      <c r="G79" s="49">
        <f t="shared" si="75"/>
        <v>2255.3282600000002</v>
      </c>
      <c r="H79" s="48">
        <f t="shared" si="76"/>
        <v>1486.76765</v>
      </c>
      <c r="I79" s="48">
        <f t="shared" si="77"/>
        <v>7886.90409</v>
      </c>
      <c r="J79" s="40">
        <v>11629</v>
      </c>
      <c r="K79" s="43">
        <f t="shared" si="78"/>
        <v>3571.7929800000002</v>
      </c>
      <c r="L79" s="15">
        <f t="shared" si="79"/>
        <v>2354.6134499999998</v>
      </c>
      <c r="M79" s="15">
        <f t="shared" si="80"/>
        <v>12490.593569999999</v>
      </c>
      <c r="N79" s="40">
        <v>18417</v>
      </c>
      <c r="O79" s="43">
        <f t="shared" si="81"/>
        <v>1542.7927</v>
      </c>
      <c r="P79" s="15">
        <f t="shared" si="82"/>
        <v>1017.04675</v>
      </c>
      <c r="Q79" s="15">
        <f t="shared" si="83"/>
        <v>5395.1605499999996</v>
      </c>
      <c r="R79" s="40">
        <v>7955</v>
      </c>
      <c r="S79" s="43">
        <f t="shared" si="84"/>
        <v>7369.9139400000004</v>
      </c>
      <c r="T79" s="15">
        <f t="shared" si="85"/>
        <v>4858.42785</v>
      </c>
      <c r="U79" s="15">
        <f t="shared" si="86"/>
        <v>25772.658209999998</v>
      </c>
      <c r="V79" s="47">
        <f t="shared" si="88"/>
        <v>38001</v>
      </c>
      <c r="X79" s="84">
        <f t="shared" si="89"/>
        <v>11629</v>
      </c>
      <c r="Y79" s="84">
        <f t="shared" si="90"/>
        <v>18417</v>
      </c>
      <c r="Z79" s="84">
        <f t="shared" si="91"/>
        <v>7955</v>
      </c>
    </row>
    <row r="80" spans="1:26" ht="21" customHeight="1" x14ac:dyDescent="0.2">
      <c r="A80" s="16" t="s">
        <v>46</v>
      </c>
      <c r="B80" s="27">
        <v>0.14801</v>
      </c>
      <c r="C80" s="27">
        <v>5.1470000000000002E-2</v>
      </c>
      <c r="D80" s="27">
        <v>0.80052000000000001</v>
      </c>
      <c r="E80" s="27">
        <f t="shared" si="87"/>
        <v>1</v>
      </c>
      <c r="F80" s="29">
        <v>39439</v>
      </c>
      <c r="G80" s="49">
        <f t="shared" si="75"/>
        <v>455.13075000000003</v>
      </c>
      <c r="H80" s="48">
        <f t="shared" si="76"/>
        <v>158.27025</v>
      </c>
      <c r="I80" s="48">
        <f t="shared" si="77"/>
        <v>2461.5990000000002</v>
      </c>
      <c r="J80" s="40">
        <v>3075</v>
      </c>
      <c r="K80" s="43">
        <f t="shared" si="78"/>
        <v>595.14821000000006</v>
      </c>
      <c r="L80" s="15">
        <f t="shared" si="79"/>
        <v>206.96087</v>
      </c>
      <c r="M80" s="15">
        <f t="shared" si="80"/>
        <v>3218.8909199999998</v>
      </c>
      <c r="N80" s="40">
        <v>4021</v>
      </c>
      <c r="O80" s="43">
        <f t="shared" si="81"/>
        <v>28.1219</v>
      </c>
      <c r="P80" s="15">
        <f t="shared" si="82"/>
        <v>9.779300000000001</v>
      </c>
      <c r="Q80" s="15">
        <f t="shared" si="83"/>
        <v>152.09880000000001</v>
      </c>
      <c r="R80" s="40">
        <v>190</v>
      </c>
      <c r="S80" s="43">
        <f t="shared" si="84"/>
        <v>1078.40086</v>
      </c>
      <c r="T80" s="15">
        <f t="shared" si="85"/>
        <v>375.01042000000001</v>
      </c>
      <c r="U80" s="15">
        <f t="shared" si="86"/>
        <v>5832.5887199999997</v>
      </c>
      <c r="V80" s="47">
        <f t="shared" si="88"/>
        <v>7286</v>
      </c>
      <c r="X80" s="84">
        <f t="shared" si="89"/>
        <v>3075</v>
      </c>
      <c r="Y80" s="84">
        <f t="shared" si="90"/>
        <v>4021</v>
      </c>
      <c r="Z80" s="84">
        <f t="shared" si="91"/>
        <v>190</v>
      </c>
    </row>
    <row r="81" spans="1:26" ht="21" customHeight="1" x14ac:dyDescent="0.2">
      <c r="A81" s="16" t="s">
        <v>51</v>
      </c>
      <c r="B81" s="27">
        <v>6.5399999999999998E-3</v>
      </c>
      <c r="C81" s="27">
        <v>0.24085999999999999</v>
      </c>
      <c r="D81" s="27">
        <v>0.75260000000000005</v>
      </c>
      <c r="E81" s="27">
        <f t="shared" si="87"/>
        <v>1</v>
      </c>
      <c r="F81" s="29">
        <v>1864553</v>
      </c>
      <c r="G81" s="49">
        <f t="shared" si="75"/>
        <v>1088.13174</v>
      </c>
      <c r="H81" s="48">
        <f t="shared" si="76"/>
        <v>40074.52766</v>
      </c>
      <c r="I81" s="48">
        <f t="shared" si="77"/>
        <v>125218.34060000001</v>
      </c>
      <c r="J81" s="40">
        <v>166381</v>
      </c>
      <c r="K81" s="43">
        <f t="shared" si="78"/>
        <v>1752.1052399999999</v>
      </c>
      <c r="L81" s="15">
        <f t="shared" si="79"/>
        <v>64527.839159999996</v>
      </c>
      <c r="M81" s="15">
        <f t="shared" si="80"/>
        <v>201626.05560000002</v>
      </c>
      <c r="N81" s="40">
        <v>267906</v>
      </c>
      <c r="O81" s="43">
        <f t="shared" si="81"/>
        <v>60.370739999999998</v>
      </c>
      <c r="P81" s="15">
        <f t="shared" si="82"/>
        <v>2223.3786599999999</v>
      </c>
      <c r="Q81" s="15">
        <f t="shared" si="83"/>
        <v>6947.2506000000003</v>
      </c>
      <c r="R81" s="40">
        <v>9231</v>
      </c>
      <c r="S81" s="43">
        <f t="shared" si="84"/>
        <v>2900.60772</v>
      </c>
      <c r="T81" s="15">
        <f t="shared" si="85"/>
        <v>106825.74548</v>
      </c>
      <c r="U81" s="15">
        <f t="shared" si="86"/>
        <v>333791.64680000005</v>
      </c>
      <c r="V81" s="47">
        <f t="shared" si="88"/>
        <v>443518</v>
      </c>
      <c r="X81" s="84">
        <f t="shared" si="89"/>
        <v>166381</v>
      </c>
      <c r="Y81" s="84">
        <f t="shared" si="90"/>
        <v>267906</v>
      </c>
      <c r="Z81" s="84">
        <f t="shared" si="91"/>
        <v>9231</v>
      </c>
    </row>
    <row r="82" spans="1:26" ht="21" customHeight="1" x14ac:dyDescent="0.2">
      <c r="A82" s="16" t="s">
        <v>52</v>
      </c>
      <c r="B82" s="27">
        <v>1.5E-3</v>
      </c>
      <c r="C82" s="27">
        <v>6.9699999999999996E-3</v>
      </c>
      <c r="D82" s="27">
        <v>0.99153000000000002</v>
      </c>
      <c r="E82" s="27">
        <f t="shared" si="87"/>
        <v>1</v>
      </c>
      <c r="F82" s="29">
        <v>3844209</v>
      </c>
      <c r="G82" s="49">
        <f t="shared" si="75"/>
        <v>712.51350000000002</v>
      </c>
      <c r="H82" s="48">
        <f t="shared" si="76"/>
        <v>3310.8127299999996</v>
      </c>
      <c r="I82" s="48">
        <f t="shared" si="77"/>
        <v>470985.67376999999</v>
      </c>
      <c r="J82" s="40">
        <v>475009</v>
      </c>
      <c r="K82" s="43">
        <f t="shared" si="78"/>
        <v>546.24900000000002</v>
      </c>
      <c r="L82" s="15">
        <f t="shared" si="79"/>
        <v>2538.23702</v>
      </c>
      <c r="M82" s="15">
        <f t="shared" si="80"/>
        <v>361081.51397999999</v>
      </c>
      <c r="N82" s="40">
        <v>364166</v>
      </c>
      <c r="O82" s="43">
        <f t="shared" si="81"/>
        <v>21.349499999999999</v>
      </c>
      <c r="P82" s="15">
        <f t="shared" si="82"/>
        <v>99.204009999999997</v>
      </c>
      <c r="Q82" s="15">
        <f t="shared" si="83"/>
        <v>14112.44649</v>
      </c>
      <c r="R82" s="40">
        <v>14233</v>
      </c>
      <c r="S82" s="43">
        <f t="shared" si="84"/>
        <v>1280.1120000000001</v>
      </c>
      <c r="T82" s="15">
        <f t="shared" si="85"/>
        <v>5948.2537599999996</v>
      </c>
      <c r="U82" s="15">
        <f t="shared" si="86"/>
        <v>846179.63424000004</v>
      </c>
      <c r="V82" s="47">
        <f t="shared" si="88"/>
        <v>853408</v>
      </c>
      <c r="X82" s="84">
        <f t="shared" si="89"/>
        <v>475009</v>
      </c>
      <c r="Y82" s="84">
        <f t="shared" si="90"/>
        <v>364166</v>
      </c>
      <c r="Z82" s="84">
        <f t="shared" si="91"/>
        <v>14233</v>
      </c>
    </row>
    <row r="83" spans="1:26" ht="21" customHeight="1" x14ac:dyDescent="0.2">
      <c r="A83" s="16" t="s">
        <v>49</v>
      </c>
      <c r="B83" s="27">
        <v>8.3899999999999999E-3</v>
      </c>
      <c r="C83" s="27">
        <v>0.13835</v>
      </c>
      <c r="D83" s="27">
        <v>0.85326000000000002</v>
      </c>
      <c r="E83" s="27">
        <f t="shared" si="87"/>
        <v>1</v>
      </c>
      <c r="F83" s="29">
        <v>4411828</v>
      </c>
      <c r="G83" s="49">
        <f t="shared" si="75"/>
        <v>1971.1717699999999</v>
      </c>
      <c r="H83" s="48">
        <f t="shared" si="76"/>
        <v>32504.36405</v>
      </c>
      <c r="I83" s="48">
        <f t="shared" si="77"/>
        <v>200467.46418000001</v>
      </c>
      <c r="J83" s="40">
        <v>234943</v>
      </c>
      <c r="K83" s="43">
        <f t="shared" si="78"/>
        <v>5379.9784300000001</v>
      </c>
      <c r="L83" s="15">
        <f t="shared" si="79"/>
        <v>88715.138950000008</v>
      </c>
      <c r="M83" s="15">
        <f t="shared" si="80"/>
        <v>547141.88262000005</v>
      </c>
      <c r="N83" s="40">
        <v>641237</v>
      </c>
      <c r="O83" s="43">
        <f t="shared" si="81"/>
        <v>311.66332999999997</v>
      </c>
      <c r="P83" s="15">
        <f t="shared" si="82"/>
        <v>5139.2874499999998</v>
      </c>
      <c r="Q83" s="15">
        <f t="shared" si="83"/>
        <v>31696.049220000001</v>
      </c>
      <c r="R83" s="40">
        <v>37147</v>
      </c>
      <c r="S83" s="43">
        <f t="shared" si="84"/>
        <v>7662.8135299999994</v>
      </c>
      <c r="T83" s="15">
        <f t="shared" si="85"/>
        <v>126358.79045</v>
      </c>
      <c r="U83" s="15">
        <f t="shared" si="86"/>
        <v>779305.39601999999</v>
      </c>
      <c r="V83" s="47">
        <f t="shared" si="88"/>
        <v>913327</v>
      </c>
      <c r="X83" s="84">
        <f t="shared" si="89"/>
        <v>234943</v>
      </c>
      <c r="Y83" s="84">
        <f t="shared" si="90"/>
        <v>641237</v>
      </c>
      <c r="Z83" s="84">
        <f t="shared" si="91"/>
        <v>37147</v>
      </c>
    </row>
    <row r="84" spans="1:26" ht="21" customHeight="1" x14ac:dyDescent="0.2">
      <c r="A84" s="16" t="s">
        <v>50</v>
      </c>
      <c r="B84" s="27">
        <v>3.1269999999999999E-2</v>
      </c>
      <c r="C84" s="27">
        <v>5.3420000000000002E-2</v>
      </c>
      <c r="D84" s="27">
        <v>0.91530999999999996</v>
      </c>
      <c r="E84" s="27">
        <f t="shared" si="87"/>
        <v>1</v>
      </c>
      <c r="F84" s="29">
        <v>3999058</v>
      </c>
      <c r="G84" s="49">
        <f t="shared" si="75"/>
        <v>10272.28881</v>
      </c>
      <c r="H84" s="48">
        <f t="shared" si="76"/>
        <v>17548.630260000002</v>
      </c>
      <c r="I84" s="48">
        <f t="shared" si="77"/>
        <v>300682.08093</v>
      </c>
      <c r="J84" s="40">
        <v>328503</v>
      </c>
      <c r="K84" s="43">
        <f t="shared" si="78"/>
        <v>17310.915649999999</v>
      </c>
      <c r="L84" s="15">
        <f t="shared" si="79"/>
        <v>29573.044900000001</v>
      </c>
      <c r="M84" s="15">
        <f t="shared" si="80"/>
        <v>506711.03944999998</v>
      </c>
      <c r="N84" s="40">
        <v>553595</v>
      </c>
      <c r="O84" s="43">
        <f t="shared" si="81"/>
        <v>715.70776000000001</v>
      </c>
      <c r="P84" s="15">
        <f t="shared" si="82"/>
        <v>1222.67696</v>
      </c>
      <c r="Q84" s="15">
        <f t="shared" si="83"/>
        <v>20949.615279999998</v>
      </c>
      <c r="R84" s="40">
        <v>22888</v>
      </c>
      <c r="S84" s="43">
        <f t="shared" si="84"/>
        <v>28298.912219999998</v>
      </c>
      <c r="T84" s="15">
        <f t="shared" si="85"/>
        <v>48344.352120000003</v>
      </c>
      <c r="U84" s="15">
        <f t="shared" si="86"/>
        <v>828342.73566000001</v>
      </c>
      <c r="V84" s="47">
        <f t="shared" si="88"/>
        <v>904986</v>
      </c>
      <c r="X84" s="84">
        <f t="shared" si="89"/>
        <v>328503</v>
      </c>
      <c r="Y84" s="84">
        <f t="shared" si="90"/>
        <v>553595</v>
      </c>
      <c r="Z84" s="84">
        <f t="shared" si="91"/>
        <v>22888</v>
      </c>
    </row>
    <row r="85" spans="1:26" ht="21" customHeight="1" x14ac:dyDescent="0.2">
      <c r="A85" s="16" t="s">
        <v>53</v>
      </c>
      <c r="B85" s="27">
        <v>0.10236000000000001</v>
      </c>
      <c r="C85" s="27">
        <v>7.374E-2</v>
      </c>
      <c r="D85" s="27">
        <v>0.82389999999999997</v>
      </c>
      <c r="E85" s="27">
        <f t="shared" si="87"/>
        <v>1</v>
      </c>
      <c r="F85" s="29">
        <v>888919</v>
      </c>
      <c r="G85" s="49">
        <f t="shared" si="75"/>
        <v>11313.953160000001</v>
      </c>
      <c r="H85" s="48">
        <f t="shared" si="76"/>
        <v>8150.5559400000002</v>
      </c>
      <c r="I85" s="48">
        <f t="shared" si="77"/>
        <v>91066.49089999999</v>
      </c>
      <c r="J85" s="40">
        <v>110531</v>
      </c>
      <c r="K85" s="43">
        <f t="shared" si="78"/>
        <v>5569.5099600000003</v>
      </c>
      <c r="L85" s="15">
        <f t="shared" si="79"/>
        <v>4012.2671399999999</v>
      </c>
      <c r="M85" s="15">
        <f t="shared" si="80"/>
        <v>44829.222900000001</v>
      </c>
      <c r="N85" s="40">
        <v>54411</v>
      </c>
      <c r="O85" s="43">
        <f t="shared" si="81"/>
        <v>522.95724000000007</v>
      </c>
      <c r="P85" s="15">
        <f t="shared" si="82"/>
        <v>376.73766000000001</v>
      </c>
      <c r="Q85" s="15">
        <f t="shared" si="83"/>
        <v>4209.3050999999996</v>
      </c>
      <c r="R85" s="40">
        <v>5109</v>
      </c>
      <c r="S85" s="43">
        <f t="shared" si="84"/>
        <v>17406.42036</v>
      </c>
      <c r="T85" s="15">
        <f t="shared" si="85"/>
        <v>12539.560740000001</v>
      </c>
      <c r="U85" s="15">
        <f t="shared" si="86"/>
        <v>140105.0189</v>
      </c>
      <c r="V85" s="47">
        <f t="shared" si="88"/>
        <v>170051</v>
      </c>
      <c r="X85" s="84">
        <f t="shared" si="89"/>
        <v>110531</v>
      </c>
      <c r="Y85" s="84">
        <f t="shared" si="90"/>
        <v>54411</v>
      </c>
      <c r="Z85" s="84">
        <f t="shared" si="91"/>
        <v>5109</v>
      </c>
    </row>
    <row r="86" spans="1:26" ht="21" customHeight="1" thickBot="1" x14ac:dyDescent="0.25">
      <c r="A86" s="10" t="s">
        <v>54</v>
      </c>
      <c r="B86" s="11"/>
      <c r="C86" s="11"/>
      <c r="D86" s="11"/>
      <c r="E86" s="11"/>
      <c r="F86" s="29">
        <f t="shared" ref="F86" si="92">SUM(F77:F85)</f>
        <v>18568833</v>
      </c>
      <c r="G86" s="33">
        <f t="shared" ref="G86:V86" si="93">SUM(G77:G85)</f>
        <v>46683.192590000006</v>
      </c>
      <c r="H86" s="30">
        <f t="shared" si="93"/>
        <v>118845.04210000001</v>
      </c>
      <c r="I86" s="30">
        <f t="shared" si="93"/>
        <v>1264594.7653100002</v>
      </c>
      <c r="J86" s="30">
        <f t="shared" si="93"/>
        <v>1430123</v>
      </c>
      <c r="K86" s="33">
        <f t="shared" si="93"/>
        <v>122125.49834999999</v>
      </c>
      <c r="L86" s="30">
        <f t="shared" si="93"/>
        <v>262817.39594999998</v>
      </c>
      <c r="M86" s="30">
        <f t="shared" si="93"/>
        <v>2024522.1057</v>
      </c>
      <c r="N86" s="38">
        <f t="shared" si="93"/>
        <v>2409465</v>
      </c>
      <c r="O86" s="33">
        <f t="shared" si="93"/>
        <v>3202.9631700000004</v>
      </c>
      <c r="P86" s="38">
        <f t="shared" si="93"/>
        <v>10088.110790000001</v>
      </c>
      <c r="Q86" s="38">
        <f t="shared" si="93"/>
        <v>83461.926039999991</v>
      </c>
      <c r="R86" s="38">
        <f t="shared" si="93"/>
        <v>96753</v>
      </c>
      <c r="S86" s="33">
        <f t="shared" si="93"/>
        <v>172011.65410999997</v>
      </c>
      <c r="T86" s="38">
        <f t="shared" si="93"/>
        <v>391750.54884</v>
      </c>
      <c r="U86" s="38">
        <f t="shared" si="93"/>
        <v>3372578.7970499997</v>
      </c>
      <c r="V86" s="38">
        <f t="shared" si="93"/>
        <v>3936341</v>
      </c>
      <c r="X86" s="85">
        <f t="shared" si="89"/>
        <v>1430123</v>
      </c>
      <c r="Y86" s="85">
        <f t="shared" si="90"/>
        <v>2409465</v>
      </c>
      <c r="Z86" s="85">
        <f t="shared" si="91"/>
        <v>96753</v>
      </c>
    </row>
    <row r="88" spans="1:26" x14ac:dyDescent="0.2">
      <c r="A88" s="13" t="s">
        <v>92</v>
      </c>
    </row>
    <row r="90" spans="1:26" ht="47.25" customHeight="1" thickBot="1" x14ac:dyDescent="0.25">
      <c r="A90" s="162" t="s">
        <v>39</v>
      </c>
      <c r="B90" s="163" t="s">
        <v>40</v>
      </c>
      <c r="C90" s="164"/>
      <c r="D90" s="164"/>
      <c r="E90" s="164"/>
      <c r="F90" s="165" t="s">
        <v>93</v>
      </c>
    </row>
    <row r="91" spans="1:26" ht="13.5" thickBot="1" x14ac:dyDescent="0.25">
      <c r="A91" s="162"/>
      <c r="B91" s="163" t="s">
        <v>41</v>
      </c>
      <c r="C91" s="163" t="s">
        <v>61</v>
      </c>
      <c r="D91" s="163" t="s">
        <v>42</v>
      </c>
      <c r="E91" s="163" t="s">
        <v>43</v>
      </c>
      <c r="F91" s="166"/>
      <c r="G91" s="169" t="s">
        <v>60</v>
      </c>
      <c r="H91" s="170"/>
      <c r="I91" s="170"/>
      <c r="J91" s="170"/>
      <c r="K91" s="170"/>
      <c r="L91" s="170"/>
      <c r="M91" s="170"/>
      <c r="N91" s="170"/>
      <c r="O91" s="170"/>
      <c r="P91" s="170"/>
      <c r="Q91" s="170"/>
      <c r="R91" s="170"/>
      <c r="S91" s="170"/>
      <c r="T91" s="170"/>
      <c r="U91" s="170"/>
      <c r="V91" s="171"/>
      <c r="X91" s="9" t="s">
        <v>44</v>
      </c>
      <c r="Y91" s="9" t="s">
        <v>62</v>
      </c>
      <c r="Z91" s="9" t="s">
        <v>97</v>
      </c>
    </row>
    <row r="92" spans="1:26" x14ac:dyDescent="0.2">
      <c r="A92" s="162"/>
      <c r="B92" s="164"/>
      <c r="C92" s="164"/>
      <c r="D92" s="164"/>
      <c r="E92" s="164"/>
      <c r="F92" s="166"/>
      <c r="G92" s="178" t="s">
        <v>44</v>
      </c>
      <c r="H92" s="179"/>
      <c r="I92" s="179"/>
      <c r="J92" s="180"/>
      <c r="K92" s="178" t="s">
        <v>62</v>
      </c>
      <c r="L92" s="179"/>
      <c r="M92" s="179"/>
      <c r="N92" s="180"/>
      <c r="O92" s="178" t="s">
        <v>63</v>
      </c>
      <c r="P92" s="179"/>
      <c r="Q92" s="179"/>
      <c r="R92" s="180"/>
      <c r="S92" s="172" t="s">
        <v>43</v>
      </c>
      <c r="T92" s="173"/>
      <c r="U92" s="173"/>
      <c r="V92" s="173"/>
      <c r="X92" s="9"/>
      <c r="Y92" s="9"/>
      <c r="Z92" s="9"/>
    </row>
    <row r="93" spans="1:26" ht="23.25" customHeight="1" x14ac:dyDescent="0.2">
      <c r="A93" s="26"/>
      <c r="B93" s="71"/>
      <c r="C93" s="71"/>
      <c r="D93" s="71"/>
      <c r="E93" s="71"/>
      <c r="F93" s="72"/>
      <c r="G93" s="21" t="s">
        <v>41</v>
      </c>
      <c r="H93" s="12" t="s">
        <v>65</v>
      </c>
      <c r="I93" s="12" t="s">
        <v>42</v>
      </c>
      <c r="J93" s="19" t="s">
        <v>0</v>
      </c>
      <c r="K93" s="21" t="s">
        <v>41</v>
      </c>
      <c r="L93" s="12" t="s">
        <v>65</v>
      </c>
      <c r="M93" s="12" t="s">
        <v>42</v>
      </c>
      <c r="N93" s="19" t="s">
        <v>0</v>
      </c>
      <c r="O93" s="21" t="s">
        <v>41</v>
      </c>
      <c r="P93" s="12" t="s">
        <v>65</v>
      </c>
      <c r="Q93" s="12" t="s">
        <v>42</v>
      </c>
      <c r="R93" s="19" t="s">
        <v>0</v>
      </c>
      <c r="S93" s="21" t="s">
        <v>41</v>
      </c>
      <c r="T93" s="12" t="s">
        <v>65</v>
      </c>
      <c r="U93" s="12" t="s">
        <v>42</v>
      </c>
      <c r="V93" s="19" t="s">
        <v>0</v>
      </c>
      <c r="X93" s="9"/>
      <c r="Y93" s="9"/>
      <c r="Z93" s="9"/>
    </row>
    <row r="94" spans="1:26" ht="31.5" customHeight="1" x14ac:dyDescent="0.2">
      <c r="A94" s="16" t="s">
        <v>45</v>
      </c>
      <c r="B94" s="27">
        <v>0.18604999999999999</v>
      </c>
      <c r="C94" s="27">
        <v>0.15603</v>
      </c>
      <c r="D94" s="27">
        <v>0.65791999999999995</v>
      </c>
      <c r="E94" s="27">
        <f>B94+C94+D94</f>
        <v>1</v>
      </c>
      <c r="F94" s="29">
        <v>3002093</v>
      </c>
      <c r="G94" s="49">
        <f t="shared" ref="G94:G102" si="94">J94*B7</f>
        <v>20756.482199999999</v>
      </c>
      <c r="H94" s="48">
        <f t="shared" ref="H94:H102" si="95">J94*C7</f>
        <v>17407.33092</v>
      </c>
      <c r="I94" s="48">
        <f t="shared" ref="I94:I102" si="96">J94*D7</f>
        <v>73400.186879999994</v>
      </c>
      <c r="J94" s="50">
        <v>111564</v>
      </c>
      <c r="K94" s="49">
        <f t="shared" ref="K94:K102" si="97">N94*B7</f>
        <v>88200.3514</v>
      </c>
      <c r="L94" s="48">
        <f t="shared" ref="L94:L102" si="98">N94*C7</f>
        <v>73968.830040000001</v>
      </c>
      <c r="M94" s="48">
        <f t="shared" ref="M94:M102" si="99">N94*D7</f>
        <v>311898.81855999999</v>
      </c>
      <c r="N94" s="41">
        <v>474068</v>
      </c>
      <c r="O94" s="43">
        <f t="shared" ref="O94:O102" si="100">R94*B7</f>
        <v>0</v>
      </c>
      <c r="P94" s="15">
        <f t="shared" ref="P94:P102" si="101">R94*C7</f>
        <v>0</v>
      </c>
      <c r="Q94" s="15">
        <f t="shared" ref="Q94:Q102" si="102">R94*D7</f>
        <v>0</v>
      </c>
      <c r="R94" s="41">
        <v>0</v>
      </c>
      <c r="S94" s="43">
        <f>G94+K94+O94</f>
        <v>108956.8336</v>
      </c>
      <c r="T94" s="15">
        <f>H94+L94+P94</f>
        <v>91376.160960000008</v>
      </c>
      <c r="U94" s="15">
        <f>I94+M94+Q94</f>
        <v>385299.00543999998</v>
      </c>
      <c r="V94" s="20">
        <f>R94+N94+J94</f>
        <v>585632</v>
      </c>
      <c r="X94" s="84">
        <f>J94</f>
        <v>111564</v>
      </c>
      <c r="Y94" s="84">
        <f>N94</f>
        <v>474068</v>
      </c>
      <c r="Z94" s="84">
        <f>R94</f>
        <v>0</v>
      </c>
    </row>
    <row r="95" spans="1:26" ht="33.75" customHeight="1" x14ac:dyDescent="0.2">
      <c r="A95" s="16" t="s">
        <v>47</v>
      </c>
      <c r="B95" s="27">
        <v>0.10317</v>
      </c>
      <c r="C95" s="27">
        <v>5.6680000000000001E-2</v>
      </c>
      <c r="D95" s="27">
        <v>0.84014999999999995</v>
      </c>
      <c r="E95" s="27">
        <f t="shared" ref="E95:E102" si="103">B95+C95+D95</f>
        <v>1</v>
      </c>
      <c r="F95" s="29">
        <v>288813</v>
      </c>
      <c r="G95" s="49">
        <f t="shared" si="94"/>
        <v>0</v>
      </c>
      <c r="H95" s="48">
        <f t="shared" si="95"/>
        <v>0</v>
      </c>
      <c r="I95" s="48">
        <f t="shared" si="96"/>
        <v>0</v>
      </c>
      <c r="J95" s="41">
        <v>0</v>
      </c>
      <c r="K95" s="49">
        <f t="shared" si="97"/>
        <v>7672.6497300000001</v>
      </c>
      <c r="L95" s="48">
        <f t="shared" si="98"/>
        <v>4215.2349199999999</v>
      </c>
      <c r="M95" s="48">
        <f t="shared" si="99"/>
        <v>62481.11535</v>
      </c>
      <c r="N95" s="41">
        <v>74369</v>
      </c>
      <c r="O95" s="43">
        <f t="shared" si="100"/>
        <v>0</v>
      </c>
      <c r="P95" s="15">
        <f t="shared" si="101"/>
        <v>0</v>
      </c>
      <c r="Q95" s="15">
        <f t="shared" si="102"/>
        <v>0</v>
      </c>
      <c r="R95" s="41">
        <v>0</v>
      </c>
      <c r="S95" s="43">
        <f t="shared" ref="S95:S102" si="104">G95+K95+O95</f>
        <v>7672.6497300000001</v>
      </c>
      <c r="T95" s="15">
        <f t="shared" ref="T95:T102" si="105">H95+L95+P95</f>
        <v>4215.2349199999999</v>
      </c>
      <c r="U95" s="15">
        <f t="shared" ref="U95:U102" si="106">I95+M95+Q95</f>
        <v>62481.11535</v>
      </c>
      <c r="V95" s="20">
        <f t="shared" ref="V95:V102" si="107">R95+N95+J95</f>
        <v>74369</v>
      </c>
      <c r="X95" s="84">
        <f t="shared" ref="X95:X103" si="108">J95</f>
        <v>0</v>
      </c>
      <c r="Y95" s="84">
        <f t="shared" ref="Y95:Y103" si="109">N95</f>
        <v>74369</v>
      </c>
      <c r="Z95" s="84">
        <f t="shared" ref="Z95:Z103" si="110">R95</f>
        <v>0</v>
      </c>
    </row>
    <row r="96" spans="1:26" ht="21" customHeight="1" x14ac:dyDescent="0.2">
      <c r="A96" s="16" t="s">
        <v>48</v>
      </c>
      <c r="B96" s="27">
        <v>0.19394</v>
      </c>
      <c r="C96" s="27">
        <v>0.12784999999999999</v>
      </c>
      <c r="D96" s="27">
        <v>0.67820999999999998</v>
      </c>
      <c r="E96" s="27">
        <f t="shared" si="103"/>
        <v>1</v>
      </c>
      <c r="F96" s="29">
        <v>229921</v>
      </c>
      <c r="G96" s="49">
        <f t="shared" si="94"/>
        <v>3909.2485799999999</v>
      </c>
      <c r="H96" s="48">
        <f t="shared" si="95"/>
        <v>2577.0724499999997</v>
      </c>
      <c r="I96" s="48">
        <f t="shared" si="96"/>
        <v>13670.678969999999</v>
      </c>
      <c r="J96" s="41">
        <v>20157</v>
      </c>
      <c r="K96" s="49">
        <f t="shared" si="97"/>
        <v>6264.8438200000001</v>
      </c>
      <c r="L96" s="48">
        <f t="shared" si="98"/>
        <v>4129.9385499999999</v>
      </c>
      <c r="M96" s="48">
        <f t="shared" si="99"/>
        <v>21908.217629999999</v>
      </c>
      <c r="N96" s="41">
        <v>32303</v>
      </c>
      <c r="O96" s="43">
        <f t="shared" si="100"/>
        <v>2737.0752200000002</v>
      </c>
      <c r="P96" s="15">
        <f t="shared" si="101"/>
        <v>1804.3470499999999</v>
      </c>
      <c r="Q96" s="15">
        <f t="shared" si="102"/>
        <v>9571.5777299999991</v>
      </c>
      <c r="R96" s="41">
        <v>14113</v>
      </c>
      <c r="S96" s="43">
        <f t="shared" si="104"/>
        <v>12911.16762</v>
      </c>
      <c r="T96" s="15">
        <f t="shared" si="105"/>
        <v>8511.3580499999989</v>
      </c>
      <c r="U96" s="15">
        <f t="shared" si="106"/>
        <v>45150.474329999997</v>
      </c>
      <c r="V96" s="20">
        <f t="shared" si="107"/>
        <v>66573</v>
      </c>
      <c r="X96" s="84">
        <f t="shared" si="108"/>
        <v>20157</v>
      </c>
      <c r="Y96" s="84">
        <f t="shared" si="109"/>
        <v>32303</v>
      </c>
      <c r="Z96" s="84">
        <f t="shared" si="110"/>
        <v>14113</v>
      </c>
    </row>
    <row r="97" spans="1:36" ht="21" customHeight="1" x14ac:dyDescent="0.2">
      <c r="A97" s="16" t="s">
        <v>46</v>
      </c>
      <c r="B97" s="27">
        <v>0.14801</v>
      </c>
      <c r="C97" s="27">
        <v>5.1470000000000002E-2</v>
      </c>
      <c r="D97" s="27">
        <v>0.80052000000000001</v>
      </c>
      <c r="E97" s="27">
        <f t="shared" si="103"/>
        <v>1</v>
      </c>
      <c r="F97" s="29">
        <v>39439</v>
      </c>
      <c r="G97" s="49">
        <f t="shared" si="94"/>
        <v>535.94421</v>
      </c>
      <c r="H97" s="48">
        <f t="shared" si="95"/>
        <v>186.37287000000001</v>
      </c>
      <c r="I97" s="48">
        <f t="shared" si="96"/>
        <v>2898.6829200000002</v>
      </c>
      <c r="J97" s="41">
        <v>3621</v>
      </c>
      <c r="K97" s="49">
        <f t="shared" si="97"/>
        <v>701.12337000000002</v>
      </c>
      <c r="L97" s="48">
        <f t="shared" si="98"/>
        <v>243.81339</v>
      </c>
      <c r="M97" s="48">
        <f t="shared" si="99"/>
        <v>3792.06324</v>
      </c>
      <c r="N97" s="41">
        <v>4737</v>
      </c>
      <c r="O97" s="43">
        <f t="shared" si="100"/>
        <v>32.858220000000003</v>
      </c>
      <c r="P97" s="15">
        <f t="shared" si="101"/>
        <v>11.42634</v>
      </c>
      <c r="Q97" s="15">
        <f t="shared" si="102"/>
        <v>177.71544</v>
      </c>
      <c r="R97" s="41">
        <v>222</v>
      </c>
      <c r="S97" s="43">
        <f t="shared" si="104"/>
        <v>1269.9258</v>
      </c>
      <c r="T97" s="15">
        <f t="shared" si="105"/>
        <v>441.61259999999999</v>
      </c>
      <c r="U97" s="15">
        <f t="shared" si="106"/>
        <v>6868.4616000000005</v>
      </c>
      <c r="V97" s="20">
        <f t="shared" si="107"/>
        <v>8580</v>
      </c>
      <c r="X97" s="84">
        <f t="shared" si="108"/>
        <v>3621</v>
      </c>
      <c r="Y97" s="84">
        <f t="shared" si="109"/>
        <v>4737</v>
      </c>
      <c r="Z97" s="84">
        <f t="shared" si="110"/>
        <v>222</v>
      </c>
    </row>
    <row r="98" spans="1:36" ht="21" customHeight="1" x14ac:dyDescent="0.2">
      <c r="A98" s="16" t="s">
        <v>51</v>
      </c>
      <c r="B98" s="27">
        <v>6.5399999999999998E-3</v>
      </c>
      <c r="C98" s="27">
        <v>0.24085999999999999</v>
      </c>
      <c r="D98" s="27">
        <v>0.75260000000000005</v>
      </c>
      <c r="E98" s="27">
        <f t="shared" si="103"/>
        <v>1</v>
      </c>
      <c r="F98" s="29">
        <v>1864553</v>
      </c>
      <c r="G98" s="49">
        <f t="shared" si="94"/>
        <v>1088.1251999999999</v>
      </c>
      <c r="H98" s="48">
        <f t="shared" si="95"/>
        <v>40074.286800000002</v>
      </c>
      <c r="I98" s="48">
        <f t="shared" si="96"/>
        <v>125217.588</v>
      </c>
      <c r="J98" s="41">
        <v>166380</v>
      </c>
      <c r="K98" s="49">
        <f t="shared" si="97"/>
        <v>1751.3335199999999</v>
      </c>
      <c r="L98" s="48">
        <f t="shared" si="98"/>
        <v>64499.417679999999</v>
      </c>
      <c r="M98" s="48">
        <f t="shared" si="99"/>
        <v>201537.2488</v>
      </c>
      <c r="N98" s="41">
        <v>267788</v>
      </c>
      <c r="O98" s="43">
        <f t="shared" si="100"/>
        <v>60.370739999999998</v>
      </c>
      <c r="P98" s="15">
        <f t="shared" si="101"/>
        <v>2223.3786599999999</v>
      </c>
      <c r="Q98" s="15">
        <f t="shared" si="102"/>
        <v>6947.2506000000003</v>
      </c>
      <c r="R98" s="41">
        <v>9231</v>
      </c>
      <c r="S98" s="43">
        <f t="shared" si="104"/>
        <v>2899.8294599999995</v>
      </c>
      <c r="T98" s="15">
        <f t="shared" si="105"/>
        <v>106797.08314</v>
      </c>
      <c r="U98" s="15">
        <f t="shared" si="106"/>
        <v>333702.08740000002</v>
      </c>
      <c r="V98" s="20">
        <f t="shared" si="107"/>
        <v>443399</v>
      </c>
      <c r="X98" s="84">
        <f t="shared" si="108"/>
        <v>166380</v>
      </c>
      <c r="Y98" s="84">
        <f t="shared" si="109"/>
        <v>267788</v>
      </c>
      <c r="Z98" s="84">
        <f t="shared" si="110"/>
        <v>9231</v>
      </c>
    </row>
    <row r="99" spans="1:36" ht="21" customHeight="1" x14ac:dyDescent="0.2">
      <c r="A99" s="16" t="s">
        <v>52</v>
      </c>
      <c r="B99" s="27">
        <v>1.5E-3</v>
      </c>
      <c r="C99" s="27">
        <v>6.9699999999999996E-3</v>
      </c>
      <c r="D99" s="27">
        <v>0.99153000000000002</v>
      </c>
      <c r="E99" s="27">
        <f t="shared" si="103"/>
        <v>1</v>
      </c>
      <c r="F99" s="29">
        <v>3844209</v>
      </c>
      <c r="G99" s="49">
        <f t="shared" si="94"/>
        <v>872.29349999999999</v>
      </c>
      <c r="H99" s="48">
        <f t="shared" si="95"/>
        <v>4053.25713</v>
      </c>
      <c r="I99" s="48">
        <f t="shared" si="96"/>
        <v>576603.44937000005</v>
      </c>
      <c r="J99" s="41">
        <v>581529</v>
      </c>
      <c r="K99" s="49">
        <f t="shared" si="97"/>
        <v>671.14949999999999</v>
      </c>
      <c r="L99" s="48">
        <f t="shared" si="98"/>
        <v>3118.6080099999999</v>
      </c>
      <c r="M99" s="48">
        <f t="shared" si="99"/>
        <v>443643.24249000003</v>
      </c>
      <c r="N99" s="41">
        <v>447433</v>
      </c>
      <c r="O99" s="43">
        <f t="shared" si="100"/>
        <v>26.498999999999999</v>
      </c>
      <c r="P99" s="15">
        <f t="shared" si="101"/>
        <v>123.13202</v>
      </c>
      <c r="Q99" s="15">
        <f t="shared" si="102"/>
        <v>17516.368979999999</v>
      </c>
      <c r="R99" s="41">
        <v>17666</v>
      </c>
      <c r="S99" s="43">
        <f t="shared" si="104"/>
        <v>1569.942</v>
      </c>
      <c r="T99" s="15">
        <f t="shared" si="105"/>
        <v>7294.9971599999999</v>
      </c>
      <c r="U99" s="15">
        <f t="shared" si="106"/>
        <v>1037763.0608400002</v>
      </c>
      <c r="V99" s="20">
        <f t="shared" si="107"/>
        <v>1046628</v>
      </c>
      <c r="X99" s="84">
        <f t="shared" si="108"/>
        <v>581529</v>
      </c>
      <c r="Y99" s="84">
        <f t="shared" si="109"/>
        <v>447433</v>
      </c>
      <c r="Z99" s="84">
        <f t="shared" si="110"/>
        <v>17666</v>
      </c>
    </row>
    <row r="100" spans="1:36" ht="21" customHeight="1" x14ac:dyDescent="0.2">
      <c r="A100" s="16" t="s">
        <v>49</v>
      </c>
      <c r="B100" s="27">
        <v>8.3899999999999999E-3</v>
      </c>
      <c r="C100" s="27">
        <v>0.13835</v>
      </c>
      <c r="D100" s="27">
        <v>0.85326000000000002</v>
      </c>
      <c r="E100" s="27">
        <f t="shared" si="103"/>
        <v>1</v>
      </c>
      <c r="F100" s="29">
        <v>4411828</v>
      </c>
      <c r="G100" s="49">
        <f t="shared" si="94"/>
        <v>1970.1397999999999</v>
      </c>
      <c r="H100" s="48">
        <f t="shared" si="95"/>
        <v>32487.347000000002</v>
      </c>
      <c r="I100" s="48">
        <f t="shared" si="96"/>
        <v>200362.51320000002</v>
      </c>
      <c r="J100" s="41">
        <v>234820</v>
      </c>
      <c r="K100" s="49">
        <f t="shared" si="97"/>
        <v>5377.4362599999995</v>
      </c>
      <c r="L100" s="48">
        <f t="shared" si="98"/>
        <v>88673.218900000007</v>
      </c>
      <c r="M100" s="48">
        <f t="shared" si="99"/>
        <v>546883.34484000003</v>
      </c>
      <c r="N100" s="41">
        <v>640934</v>
      </c>
      <c r="O100" s="43">
        <f t="shared" si="100"/>
        <v>311.52069999999998</v>
      </c>
      <c r="P100" s="15">
        <f t="shared" si="101"/>
        <v>5136.9354999999996</v>
      </c>
      <c r="Q100" s="15">
        <f t="shared" si="102"/>
        <v>31681.543799999999</v>
      </c>
      <c r="R100" s="41">
        <v>37130</v>
      </c>
      <c r="S100" s="43">
        <f t="shared" si="104"/>
        <v>7659.0967599999994</v>
      </c>
      <c r="T100" s="15">
        <f t="shared" si="105"/>
        <v>126297.50140000001</v>
      </c>
      <c r="U100" s="15">
        <f t="shared" si="106"/>
        <v>778927.40184000006</v>
      </c>
      <c r="V100" s="20">
        <f t="shared" si="107"/>
        <v>912884</v>
      </c>
      <c r="X100" s="84">
        <f t="shared" si="108"/>
        <v>234820</v>
      </c>
      <c r="Y100" s="84">
        <f t="shared" si="109"/>
        <v>640934</v>
      </c>
      <c r="Z100" s="84">
        <f t="shared" si="110"/>
        <v>37130</v>
      </c>
    </row>
    <row r="101" spans="1:36" ht="21" customHeight="1" x14ac:dyDescent="0.2">
      <c r="A101" s="16" t="s">
        <v>50</v>
      </c>
      <c r="B101" s="27">
        <v>3.1269999999999999E-2</v>
      </c>
      <c r="C101" s="27">
        <v>5.3420000000000002E-2</v>
      </c>
      <c r="D101" s="27">
        <v>0.91530999999999996</v>
      </c>
      <c r="E101" s="27">
        <f t="shared" si="103"/>
        <v>1</v>
      </c>
      <c r="F101" s="29">
        <v>3999058</v>
      </c>
      <c r="G101" s="49">
        <f t="shared" si="94"/>
        <v>12292.29954</v>
      </c>
      <c r="H101" s="48">
        <f t="shared" si="95"/>
        <v>20999.508840000002</v>
      </c>
      <c r="I101" s="48">
        <f t="shared" si="96"/>
        <v>359810.19162</v>
      </c>
      <c r="J101" s="41">
        <v>393102</v>
      </c>
      <c r="K101" s="49">
        <f t="shared" si="97"/>
        <v>20714.936579999998</v>
      </c>
      <c r="L101" s="48">
        <f t="shared" si="98"/>
        <v>35388.292679999999</v>
      </c>
      <c r="M101" s="48">
        <f t="shared" si="99"/>
        <v>606350.77073999995</v>
      </c>
      <c r="N101" s="41">
        <v>662454</v>
      </c>
      <c r="O101" s="43">
        <f t="shared" si="100"/>
        <v>856.45402999999999</v>
      </c>
      <c r="P101" s="15">
        <f t="shared" si="101"/>
        <v>1463.1203800000001</v>
      </c>
      <c r="Q101" s="15">
        <f t="shared" si="102"/>
        <v>25069.425589999999</v>
      </c>
      <c r="R101" s="41">
        <v>27389</v>
      </c>
      <c r="S101" s="43">
        <f t="shared" si="104"/>
        <v>33863.690150000002</v>
      </c>
      <c r="T101" s="15">
        <f t="shared" si="105"/>
        <v>57850.921900000001</v>
      </c>
      <c r="U101" s="15">
        <f t="shared" si="106"/>
        <v>991230.38795</v>
      </c>
      <c r="V101" s="20">
        <f t="shared" si="107"/>
        <v>1082945</v>
      </c>
      <c r="X101" s="84">
        <f t="shared" si="108"/>
        <v>393102</v>
      </c>
      <c r="Y101" s="84">
        <f t="shared" si="109"/>
        <v>662454</v>
      </c>
      <c r="Z101" s="84">
        <f t="shared" si="110"/>
        <v>27389</v>
      </c>
    </row>
    <row r="102" spans="1:36" ht="21" customHeight="1" x14ac:dyDescent="0.2">
      <c r="A102" s="16" t="s">
        <v>53</v>
      </c>
      <c r="B102" s="27">
        <v>0.10236000000000001</v>
      </c>
      <c r="C102" s="27">
        <v>7.374E-2</v>
      </c>
      <c r="D102" s="27">
        <v>0.82389999999999997</v>
      </c>
      <c r="E102" s="27">
        <f t="shared" si="103"/>
        <v>1</v>
      </c>
      <c r="F102" s="29">
        <v>888919</v>
      </c>
      <c r="G102" s="49">
        <f t="shared" si="94"/>
        <v>11319.89004</v>
      </c>
      <c r="H102" s="48">
        <f t="shared" si="95"/>
        <v>8154.8328600000004</v>
      </c>
      <c r="I102" s="48">
        <f t="shared" si="96"/>
        <v>91114.277099999992</v>
      </c>
      <c r="J102" s="41">
        <v>110589</v>
      </c>
      <c r="K102" s="49">
        <f t="shared" si="97"/>
        <v>5572.4784</v>
      </c>
      <c r="L102" s="48">
        <f t="shared" si="98"/>
        <v>4014.4056</v>
      </c>
      <c r="M102" s="48">
        <f t="shared" si="99"/>
        <v>44853.115999999995</v>
      </c>
      <c r="N102" s="41">
        <v>54440</v>
      </c>
      <c r="O102" s="43">
        <f t="shared" si="100"/>
        <v>523.26432</v>
      </c>
      <c r="P102" s="15">
        <f t="shared" si="101"/>
        <v>376.95888000000002</v>
      </c>
      <c r="Q102" s="15">
        <f t="shared" si="102"/>
        <v>4211.7767999999996</v>
      </c>
      <c r="R102" s="41">
        <v>5112</v>
      </c>
      <c r="S102" s="43">
        <f t="shared" si="104"/>
        <v>17415.632759999997</v>
      </c>
      <c r="T102" s="15">
        <f t="shared" si="105"/>
        <v>12546.197340000001</v>
      </c>
      <c r="U102" s="15">
        <f t="shared" si="106"/>
        <v>140179.16989999998</v>
      </c>
      <c r="V102" s="20">
        <f t="shared" si="107"/>
        <v>170141</v>
      </c>
      <c r="X102" s="84">
        <f t="shared" si="108"/>
        <v>110589</v>
      </c>
      <c r="Y102" s="84">
        <f t="shared" si="109"/>
        <v>54440</v>
      </c>
      <c r="Z102" s="84">
        <f t="shared" si="110"/>
        <v>5112</v>
      </c>
    </row>
    <row r="103" spans="1:36" ht="21" customHeight="1" thickBot="1" x14ac:dyDescent="0.25">
      <c r="A103" s="10" t="s">
        <v>54</v>
      </c>
      <c r="B103" s="11"/>
      <c r="C103" s="11"/>
      <c r="D103" s="11"/>
      <c r="E103" s="11"/>
      <c r="F103" s="29">
        <f t="shared" ref="F103" si="111">SUM(F94:F102)</f>
        <v>18568833</v>
      </c>
      <c r="G103" s="22">
        <f t="shared" ref="G103:V103" si="112">SUM(G94:G102)</f>
        <v>52744.423069999997</v>
      </c>
      <c r="H103" s="23">
        <f t="shared" si="112"/>
        <v>125940.00886999999</v>
      </c>
      <c r="I103" s="23">
        <f t="shared" si="112"/>
        <v>1443077.5680600002</v>
      </c>
      <c r="J103" s="30">
        <f t="shared" si="112"/>
        <v>1621762</v>
      </c>
      <c r="K103" s="22">
        <f t="shared" si="112"/>
        <v>136926.30257999999</v>
      </c>
      <c r="L103" s="23">
        <f t="shared" si="112"/>
        <v>278251.75977</v>
      </c>
      <c r="M103" s="23">
        <f t="shared" si="112"/>
        <v>2243347.9376500002</v>
      </c>
      <c r="N103" s="30">
        <f t="shared" si="112"/>
        <v>2658526</v>
      </c>
      <c r="O103" s="22">
        <f t="shared" si="112"/>
        <v>4548.04223</v>
      </c>
      <c r="P103" s="23">
        <f t="shared" si="112"/>
        <v>11139.29883</v>
      </c>
      <c r="Q103" s="23">
        <f t="shared" si="112"/>
        <v>95175.658939999994</v>
      </c>
      <c r="R103" s="30">
        <f t="shared" si="112"/>
        <v>110863</v>
      </c>
      <c r="S103" s="33">
        <f t="shared" si="112"/>
        <v>194218.76788000003</v>
      </c>
      <c r="T103" s="30">
        <f t="shared" si="112"/>
        <v>415331.06747000001</v>
      </c>
      <c r="U103" s="30">
        <f t="shared" si="112"/>
        <v>3781601.1646500002</v>
      </c>
      <c r="V103" s="30">
        <f t="shared" si="112"/>
        <v>4391151</v>
      </c>
      <c r="X103" s="85">
        <f t="shared" si="108"/>
        <v>1621762</v>
      </c>
      <c r="Y103" s="85">
        <f t="shared" si="109"/>
        <v>2658526</v>
      </c>
      <c r="Z103" s="85">
        <f t="shared" si="110"/>
        <v>110863</v>
      </c>
    </row>
    <row r="105" spans="1:36" x14ac:dyDescent="0.2">
      <c r="A105" s="13" t="s">
        <v>92</v>
      </c>
    </row>
    <row r="107" spans="1:36" ht="37.5" customHeight="1" thickBot="1" x14ac:dyDescent="0.25">
      <c r="A107" s="162" t="s">
        <v>39</v>
      </c>
      <c r="B107" s="163" t="s">
        <v>40</v>
      </c>
      <c r="C107" s="164"/>
      <c r="D107" s="164"/>
      <c r="E107" s="164"/>
      <c r="F107" s="165" t="s">
        <v>93</v>
      </c>
    </row>
    <row r="108" spans="1:36" ht="23.25" customHeight="1" thickBot="1" x14ac:dyDescent="0.25">
      <c r="A108" s="162"/>
      <c r="B108" s="163" t="s">
        <v>41</v>
      </c>
      <c r="C108" s="163" t="s">
        <v>61</v>
      </c>
      <c r="D108" s="163" t="s">
        <v>42</v>
      </c>
      <c r="E108" s="163" t="s">
        <v>43</v>
      </c>
      <c r="F108" s="166"/>
      <c r="G108" s="181" t="s">
        <v>64</v>
      </c>
      <c r="H108" s="182"/>
      <c r="I108" s="182"/>
      <c r="J108" s="182"/>
      <c r="K108" s="182"/>
      <c r="L108" s="182"/>
      <c r="M108" s="182"/>
      <c r="N108" s="182"/>
      <c r="O108" s="182"/>
      <c r="P108" s="182"/>
      <c r="Q108" s="182"/>
      <c r="R108" s="182"/>
      <c r="S108" s="182"/>
      <c r="T108" s="182"/>
      <c r="U108" s="182"/>
      <c r="V108" s="183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</row>
    <row r="109" spans="1:36" x14ac:dyDescent="0.2">
      <c r="A109" s="162"/>
      <c r="B109" s="164"/>
      <c r="C109" s="164"/>
      <c r="D109" s="164"/>
      <c r="E109" s="164"/>
      <c r="F109" s="166"/>
      <c r="G109" s="167" t="s">
        <v>44</v>
      </c>
      <c r="H109" s="168"/>
      <c r="I109" s="168"/>
      <c r="J109" s="168"/>
      <c r="K109" s="167" t="s">
        <v>62</v>
      </c>
      <c r="L109" s="168"/>
      <c r="M109" s="168"/>
      <c r="N109" s="184"/>
      <c r="O109" s="167" t="s">
        <v>63</v>
      </c>
      <c r="P109" s="168"/>
      <c r="Q109" s="168"/>
      <c r="R109" s="168"/>
      <c r="S109" s="172" t="s">
        <v>43</v>
      </c>
      <c r="T109" s="173"/>
      <c r="U109" s="173"/>
      <c r="V109" s="174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</row>
    <row r="110" spans="1:36" ht="26.25" customHeight="1" x14ac:dyDescent="0.2">
      <c r="A110" s="26"/>
      <c r="B110" s="71"/>
      <c r="C110" s="71"/>
      <c r="D110" s="71"/>
      <c r="E110" s="71"/>
      <c r="F110" s="72"/>
      <c r="G110" s="21" t="s">
        <v>41</v>
      </c>
      <c r="H110" s="12" t="s">
        <v>65</v>
      </c>
      <c r="I110" s="12" t="s">
        <v>42</v>
      </c>
      <c r="J110" s="19" t="s">
        <v>0</v>
      </c>
      <c r="K110" s="21" t="s">
        <v>41</v>
      </c>
      <c r="L110" s="12" t="s">
        <v>65</v>
      </c>
      <c r="M110" s="12" t="s">
        <v>42</v>
      </c>
      <c r="N110" s="35" t="s">
        <v>0</v>
      </c>
      <c r="O110" s="21" t="s">
        <v>41</v>
      </c>
      <c r="P110" s="12" t="s">
        <v>65</v>
      </c>
      <c r="Q110" s="12" t="s">
        <v>42</v>
      </c>
      <c r="R110" s="19" t="s">
        <v>0</v>
      </c>
      <c r="S110" s="21" t="s">
        <v>41</v>
      </c>
      <c r="T110" s="12" t="s">
        <v>65</v>
      </c>
      <c r="U110" s="12" t="s">
        <v>42</v>
      </c>
      <c r="V110" s="35" t="s">
        <v>0</v>
      </c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 t="str">
        <f>B4</f>
        <v>Дальросмед</v>
      </c>
      <c r="AI110" s="9" t="str">
        <f>C4</f>
        <v xml:space="preserve">Спасские </v>
      </c>
      <c r="AJ110" s="9" t="str">
        <f>D4</f>
        <v>РГС</v>
      </c>
    </row>
    <row r="111" spans="1:36" ht="30.75" customHeight="1" x14ac:dyDescent="0.2">
      <c r="A111" s="16" t="s">
        <v>45</v>
      </c>
      <c r="B111" s="27">
        <v>0.18604999999999999</v>
      </c>
      <c r="C111" s="27">
        <v>0.15603</v>
      </c>
      <c r="D111" s="27">
        <v>0.65791999999999995</v>
      </c>
      <c r="E111" s="27">
        <f>B111+C111+D111</f>
        <v>1</v>
      </c>
      <c r="F111" s="29">
        <v>3002093</v>
      </c>
      <c r="G111" s="43">
        <f t="shared" ref="G111:V111" si="113">G7+G26+G43+G60+G77+G94</f>
        <v>88137.466499999995</v>
      </c>
      <c r="H111" s="15">
        <f t="shared" si="113"/>
        <v>73916.091899999999</v>
      </c>
      <c r="I111" s="15">
        <f t="shared" si="113"/>
        <v>311676.44159999996</v>
      </c>
      <c r="J111" s="41">
        <f t="shared" si="113"/>
        <v>473730</v>
      </c>
      <c r="K111" s="43">
        <f t="shared" si="113"/>
        <v>470401.93614999996</v>
      </c>
      <c r="L111" s="15">
        <f t="shared" si="113"/>
        <v>394500.47889000003</v>
      </c>
      <c r="M111" s="15">
        <f t="shared" si="113"/>
        <v>1663460.5849600001</v>
      </c>
      <c r="N111" s="39">
        <f t="shared" si="113"/>
        <v>2528363</v>
      </c>
      <c r="O111" s="43">
        <f t="shared" si="113"/>
        <v>0</v>
      </c>
      <c r="P111" s="52">
        <f t="shared" si="113"/>
        <v>0</v>
      </c>
      <c r="Q111" s="52">
        <f t="shared" si="113"/>
        <v>0</v>
      </c>
      <c r="R111" s="42">
        <f t="shared" si="113"/>
        <v>0</v>
      </c>
      <c r="S111" s="43">
        <f t="shared" si="113"/>
        <v>558539.40264999995</v>
      </c>
      <c r="T111" s="15">
        <f t="shared" si="113"/>
        <v>468416.57079000003</v>
      </c>
      <c r="U111" s="15">
        <f t="shared" si="113"/>
        <v>1975137.0265599999</v>
      </c>
      <c r="V111" s="39">
        <f t="shared" si="113"/>
        <v>3002093</v>
      </c>
      <c r="W111" s="14">
        <f t="shared" ref="W111:W120" si="114">J111+N111+R111</f>
        <v>3002093</v>
      </c>
      <c r="X111" s="14">
        <f t="shared" ref="X111:X120" si="115">V111-W111</f>
        <v>0</v>
      </c>
      <c r="Z111" s="14">
        <f t="shared" ref="Z111:Z120" si="116">F7</f>
        <v>3002093</v>
      </c>
      <c r="AB111" s="14">
        <f t="shared" ref="AB111:AB120" si="117">V111-Z111</f>
        <v>0</v>
      </c>
      <c r="AC111" s="14">
        <f t="shared" ref="AC111:AC120" si="118">F7-V111</f>
        <v>0</v>
      </c>
      <c r="AD111" s="69">
        <f t="shared" ref="AD111:AD119" si="119">S111/V111</f>
        <v>0.18604999999999999</v>
      </c>
      <c r="AE111" s="69">
        <f t="shared" ref="AE111:AE119" si="120">T111/V111</f>
        <v>0.15603</v>
      </c>
      <c r="AF111" s="69">
        <f t="shared" ref="AF111:AF119" si="121">U111/V111</f>
        <v>0.65791999999999995</v>
      </c>
      <c r="AH111" s="68">
        <f t="shared" ref="AH111:AH119" si="122">AD111-B7</f>
        <v>0</v>
      </c>
      <c r="AI111" s="68">
        <f t="shared" ref="AI111:AI119" si="123">AE111-C7</f>
        <v>0</v>
      </c>
      <c r="AJ111" s="68">
        <f t="shared" ref="AJ111:AJ119" si="124">AF111-D7</f>
        <v>0</v>
      </c>
    </row>
    <row r="112" spans="1:36" ht="36.75" customHeight="1" x14ac:dyDescent="0.2">
      <c r="A112" s="16" t="s">
        <v>47</v>
      </c>
      <c r="B112" s="27">
        <v>0.10317</v>
      </c>
      <c r="C112" s="27">
        <v>5.6680000000000001E-2</v>
      </c>
      <c r="D112" s="27">
        <v>0.84014999999999995</v>
      </c>
      <c r="E112" s="27">
        <f t="shared" ref="E112:E119" si="125">B112+C112+D112</f>
        <v>1</v>
      </c>
      <c r="F112" s="29">
        <v>288813</v>
      </c>
      <c r="G112" s="43">
        <f t="shared" ref="G112:V112" si="126">G8+G27+G44+G61+G78+G95</f>
        <v>0</v>
      </c>
      <c r="H112" s="15">
        <f t="shared" si="126"/>
        <v>0</v>
      </c>
      <c r="I112" s="15">
        <f t="shared" si="126"/>
        <v>0</v>
      </c>
      <c r="J112" s="41">
        <f t="shared" si="126"/>
        <v>0</v>
      </c>
      <c r="K112" s="43">
        <f t="shared" si="126"/>
        <v>29796.837210000002</v>
      </c>
      <c r="L112" s="15">
        <f t="shared" si="126"/>
        <v>16369.920839999999</v>
      </c>
      <c r="M112" s="15">
        <f t="shared" si="126"/>
        <v>242646.24195000003</v>
      </c>
      <c r="N112" s="39">
        <f t="shared" si="126"/>
        <v>288813</v>
      </c>
      <c r="O112" s="43">
        <f t="shared" si="126"/>
        <v>0</v>
      </c>
      <c r="P112" s="52">
        <f t="shared" si="126"/>
        <v>0</v>
      </c>
      <c r="Q112" s="52">
        <f t="shared" si="126"/>
        <v>0</v>
      </c>
      <c r="R112" s="42">
        <f t="shared" si="126"/>
        <v>0</v>
      </c>
      <c r="S112" s="43">
        <f t="shared" si="126"/>
        <v>29796.837210000002</v>
      </c>
      <c r="T112" s="15">
        <f t="shared" si="126"/>
        <v>16369.920839999999</v>
      </c>
      <c r="U112" s="15">
        <f t="shared" si="126"/>
        <v>242646.24195000003</v>
      </c>
      <c r="V112" s="39">
        <f t="shared" si="126"/>
        <v>288813</v>
      </c>
      <c r="W112" s="14">
        <f t="shared" si="114"/>
        <v>288813</v>
      </c>
      <c r="X112" s="14">
        <f t="shared" si="115"/>
        <v>0</v>
      </c>
      <c r="Z112" s="14">
        <f t="shared" si="116"/>
        <v>288813</v>
      </c>
      <c r="AB112" s="14">
        <f t="shared" si="117"/>
        <v>0</v>
      </c>
      <c r="AC112" s="14">
        <f t="shared" si="118"/>
        <v>0</v>
      </c>
      <c r="AD112" s="69">
        <f t="shared" si="119"/>
        <v>0.10317000000000001</v>
      </c>
      <c r="AE112" s="69">
        <f t="shared" si="120"/>
        <v>5.6679999999999994E-2</v>
      </c>
      <c r="AF112" s="69">
        <f t="shared" si="121"/>
        <v>0.84015000000000006</v>
      </c>
      <c r="AH112" s="68">
        <f t="shared" si="122"/>
        <v>0</v>
      </c>
      <c r="AI112" s="68">
        <f t="shared" si="123"/>
        <v>0</v>
      </c>
      <c r="AJ112" s="68">
        <f t="shared" si="124"/>
        <v>0</v>
      </c>
    </row>
    <row r="113" spans="1:36" ht="22.5" customHeight="1" x14ac:dyDescent="0.2">
      <c r="A113" s="16" t="s">
        <v>48</v>
      </c>
      <c r="B113" s="27">
        <v>0.19394</v>
      </c>
      <c r="C113" s="27">
        <v>0.12784999999999999</v>
      </c>
      <c r="D113" s="27">
        <v>0.67820999999999998</v>
      </c>
      <c r="E113" s="27">
        <f t="shared" si="125"/>
        <v>1</v>
      </c>
      <c r="F113" s="29">
        <v>229921</v>
      </c>
      <c r="G113" s="43">
        <f t="shared" ref="G113:V113" si="127">G9+G28+G45+G62+G79+G96</f>
        <v>13645.03658</v>
      </c>
      <c r="H113" s="15">
        <f t="shared" si="127"/>
        <v>8995.1424499999994</v>
      </c>
      <c r="I113" s="15">
        <f t="shared" si="127"/>
        <v>47716.820970000001</v>
      </c>
      <c r="J113" s="41">
        <f t="shared" si="127"/>
        <v>70357</v>
      </c>
      <c r="K113" s="43">
        <f t="shared" si="127"/>
        <v>21595.219000000001</v>
      </c>
      <c r="L113" s="15">
        <f t="shared" si="127"/>
        <v>14236.0975</v>
      </c>
      <c r="M113" s="15">
        <f t="shared" si="127"/>
        <v>75518.683499999999</v>
      </c>
      <c r="N113" s="39">
        <f t="shared" si="127"/>
        <v>111350</v>
      </c>
      <c r="O113" s="43">
        <f t="shared" si="127"/>
        <v>9350.623160000001</v>
      </c>
      <c r="P113" s="52">
        <f t="shared" si="127"/>
        <v>6164.1599000000006</v>
      </c>
      <c r="Q113" s="52">
        <f t="shared" si="127"/>
        <v>32699.216939999998</v>
      </c>
      <c r="R113" s="42">
        <f t="shared" si="127"/>
        <v>48214</v>
      </c>
      <c r="S113" s="43">
        <f t="shared" si="127"/>
        <v>44590.87874</v>
      </c>
      <c r="T113" s="15">
        <f t="shared" si="127"/>
        <v>29395.399849999998</v>
      </c>
      <c r="U113" s="15">
        <f t="shared" si="127"/>
        <v>155934.72141</v>
      </c>
      <c r="V113" s="39">
        <f t="shared" si="127"/>
        <v>229921</v>
      </c>
      <c r="W113" s="14">
        <f t="shared" si="114"/>
        <v>229921</v>
      </c>
      <c r="X113" s="14">
        <f t="shared" si="115"/>
        <v>0</v>
      </c>
      <c r="Z113" s="14">
        <f t="shared" si="116"/>
        <v>229921</v>
      </c>
      <c r="AB113" s="14">
        <f t="shared" si="117"/>
        <v>0</v>
      </c>
      <c r="AC113" s="14">
        <f t="shared" si="118"/>
        <v>0</v>
      </c>
      <c r="AD113" s="69">
        <f t="shared" si="119"/>
        <v>0.19394</v>
      </c>
      <c r="AE113" s="69">
        <f t="shared" si="120"/>
        <v>0.12784999999999999</v>
      </c>
      <c r="AF113" s="69">
        <f t="shared" si="121"/>
        <v>0.67820999999999998</v>
      </c>
      <c r="AH113" s="68">
        <f t="shared" si="122"/>
        <v>0</v>
      </c>
      <c r="AI113" s="68">
        <f t="shared" si="123"/>
        <v>0</v>
      </c>
      <c r="AJ113" s="68">
        <f t="shared" si="124"/>
        <v>0</v>
      </c>
    </row>
    <row r="114" spans="1:36" ht="22.5" customHeight="1" x14ac:dyDescent="0.2">
      <c r="A114" s="16" t="s">
        <v>46</v>
      </c>
      <c r="B114" s="27">
        <v>0.14801</v>
      </c>
      <c r="C114" s="27">
        <v>5.1470000000000002E-2</v>
      </c>
      <c r="D114" s="27">
        <v>0.80052000000000001</v>
      </c>
      <c r="E114" s="27">
        <f t="shared" si="125"/>
        <v>1</v>
      </c>
      <c r="F114" s="29">
        <v>39439</v>
      </c>
      <c r="G114" s="43">
        <f t="shared" ref="G114:V114" si="128">G10+G29+G46+G63+G80+G97</f>
        <v>2463.33043</v>
      </c>
      <c r="H114" s="15">
        <f t="shared" si="128"/>
        <v>856.61521000000005</v>
      </c>
      <c r="I114" s="15">
        <f t="shared" si="128"/>
        <v>13323.054359999998</v>
      </c>
      <c r="J114" s="41">
        <f t="shared" si="128"/>
        <v>16643</v>
      </c>
      <c r="K114" s="43">
        <f t="shared" si="128"/>
        <v>3222.0296900000003</v>
      </c>
      <c r="L114" s="15">
        <f t="shared" si="128"/>
        <v>1120.4504299999999</v>
      </c>
      <c r="M114" s="15">
        <f t="shared" si="128"/>
        <v>17426.51988</v>
      </c>
      <c r="N114" s="39">
        <f t="shared" si="128"/>
        <v>21769</v>
      </c>
      <c r="O114" s="43">
        <f t="shared" si="128"/>
        <v>152.00627</v>
      </c>
      <c r="P114" s="52">
        <f t="shared" si="128"/>
        <v>52.859690000000001</v>
      </c>
      <c r="Q114" s="52">
        <f t="shared" si="128"/>
        <v>822.13403999999991</v>
      </c>
      <c r="R114" s="42">
        <f t="shared" si="128"/>
        <v>1027</v>
      </c>
      <c r="S114" s="43">
        <f t="shared" si="128"/>
        <v>5837.3663900000001</v>
      </c>
      <c r="T114" s="15">
        <f t="shared" si="128"/>
        <v>2029.92533</v>
      </c>
      <c r="U114" s="15">
        <f t="shared" si="128"/>
        <v>31571.708279999999</v>
      </c>
      <c r="V114" s="39">
        <f t="shared" si="128"/>
        <v>39439</v>
      </c>
      <c r="W114" s="14">
        <f t="shared" si="114"/>
        <v>39439</v>
      </c>
      <c r="X114" s="14">
        <f t="shared" si="115"/>
        <v>0</v>
      </c>
      <c r="Z114" s="14">
        <f t="shared" si="116"/>
        <v>39439</v>
      </c>
      <c r="AB114" s="14">
        <f t="shared" si="117"/>
        <v>0</v>
      </c>
      <c r="AC114" s="14">
        <f t="shared" si="118"/>
        <v>0</v>
      </c>
      <c r="AD114" s="69">
        <f t="shared" si="119"/>
        <v>0.14801</v>
      </c>
      <c r="AE114" s="69">
        <f t="shared" si="120"/>
        <v>5.1470000000000002E-2</v>
      </c>
      <c r="AF114" s="69">
        <f t="shared" si="121"/>
        <v>0.80052000000000001</v>
      </c>
      <c r="AH114" s="68">
        <f t="shared" si="122"/>
        <v>0</v>
      </c>
      <c r="AI114" s="68">
        <f t="shared" si="123"/>
        <v>0</v>
      </c>
      <c r="AJ114" s="68">
        <f t="shared" si="124"/>
        <v>0</v>
      </c>
    </row>
    <row r="115" spans="1:36" ht="22.5" customHeight="1" x14ac:dyDescent="0.2">
      <c r="A115" s="16" t="s">
        <v>51</v>
      </c>
      <c r="B115" s="27">
        <v>6.5399999999999998E-3</v>
      </c>
      <c r="C115" s="27">
        <v>0.24085999999999999</v>
      </c>
      <c r="D115" s="27">
        <v>0.75260000000000005</v>
      </c>
      <c r="E115" s="27">
        <f t="shared" si="125"/>
        <v>1</v>
      </c>
      <c r="F115" s="29">
        <v>1864553</v>
      </c>
      <c r="G115" s="43">
        <f t="shared" ref="G115:V115" si="129">G11+G30+G47+G64+G81+G98</f>
        <v>4289.0366400000003</v>
      </c>
      <c r="H115" s="15">
        <f t="shared" si="129"/>
        <v>157959.84175999998</v>
      </c>
      <c r="I115" s="15">
        <f t="shared" si="129"/>
        <v>493567.12160000001</v>
      </c>
      <c r="J115" s="41">
        <f t="shared" si="129"/>
        <v>655816</v>
      </c>
      <c r="K115" s="43">
        <f t="shared" si="129"/>
        <v>7749.2656199999992</v>
      </c>
      <c r="L115" s="15">
        <f t="shared" si="129"/>
        <v>285395.73657999997</v>
      </c>
      <c r="M115" s="15">
        <f t="shared" si="129"/>
        <v>891757.99780000001</v>
      </c>
      <c r="N115" s="39">
        <f t="shared" si="129"/>
        <v>1184903</v>
      </c>
      <c r="O115" s="43">
        <f t="shared" si="129"/>
        <v>155.87436</v>
      </c>
      <c r="P115" s="52">
        <f t="shared" si="129"/>
        <v>5740.6572399999995</v>
      </c>
      <c r="Q115" s="52">
        <f t="shared" si="129"/>
        <v>17937.468400000002</v>
      </c>
      <c r="R115" s="42">
        <f t="shared" si="129"/>
        <v>23834</v>
      </c>
      <c r="S115" s="43">
        <f t="shared" si="129"/>
        <v>12194.17662</v>
      </c>
      <c r="T115" s="15">
        <f t="shared" si="129"/>
        <v>449096.23557999998</v>
      </c>
      <c r="U115" s="15">
        <f t="shared" si="129"/>
        <v>1403262.5878000001</v>
      </c>
      <c r="V115" s="39">
        <f t="shared" si="129"/>
        <v>1864553</v>
      </c>
      <c r="W115" s="14">
        <f t="shared" si="114"/>
        <v>1864553</v>
      </c>
      <c r="X115" s="14">
        <f t="shared" si="115"/>
        <v>0</v>
      </c>
      <c r="Z115" s="14">
        <f t="shared" si="116"/>
        <v>1864553</v>
      </c>
      <c r="AB115" s="14">
        <f t="shared" si="117"/>
        <v>0</v>
      </c>
      <c r="AC115" s="14">
        <f t="shared" si="118"/>
        <v>0</v>
      </c>
      <c r="AD115" s="69">
        <f t="shared" si="119"/>
        <v>6.5399999999999998E-3</v>
      </c>
      <c r="AE115" s="69">
        <f t="shared" si="120"/>
        <v>0.24085999999999999</v>
      </c>
      <c r="AF115" s="69">
        <f t="shared" si="121"/>
        <v>0.75260000000000005</v>
      </c>
      <c r="AH115" s="68">
        <f t="shared" si="122"/>
        <v>0</v>
      </c>
      <c r="AI115" s="68">
        <f t="shared" si="123"/>
        <v>0</v>
      </c>
      <c r="AJ115" s="68">
        <f t="shared" si="124"/>
        <v>0</v>
      </c>
    </row>
    <row r="116" spans="1:36" ht="22.5" customHeight="1" x14ac:dyDescent="0.2">
      <c r="A116" s="16" t="s">
        <v>52</v>
      </c>
      <c r="B116" s="27">
        <v>1.5E-3</v>
      </c>
      <c r="C116" s="27">
        <v>6.9699999999999996E-3</v>
      </c>
      <c r="D116" s="27">
        <v>0.99153000000000002</v>
      </c>
      <c r="E116" s="27">
        <f t="shared" si="125"/>
        <v>1</v>
      </c>
      <c r="F116" s="29">
        <v>3844209</v>
      </c>
      <c r="G116" s="43">
        <f t="shared" ref="G116:V116" si="130">G12+G31+G48+G65+G82+G99</f>
        <v>3096.5355</v>
      </c>
      <c r="H116" s="15">
        <f t="shared" si="130"/>
        <v>14388.568289999999</v>
      </c>
      <c r="I116" s="15">
        <f t="shared" si="130"/>
        <v>2046871.8962100002</v>
      </c>
      <c r="J116" s="41">
        <f t="shared" si="130"/>
        <v>2064357</v>
      </c>
      <c r="K116" s="43">
        <f t="shared" si="130"/>
        <v>2591.3114999999998</v>
      </c>
      <c r="L116" s="15">
        <f t="shared" si="130"/>
        <v>12040.96077</v>
      </c>
      <c r="M116" s="15">
        <f t="shared" si="130"/>
        <v>1712908.7277300002</v>
      </c>
      <c r="N116" s="39">
        <f t="shared" si="130"/>
        <v>1727541</v>
      </c>
      <c r="O116" s="43">
        <f t="shared" si="130"/>
        <v>78.466499999999996</v>
      </c>
      <c r="P116" s="52">
        <f t="shared" si="130"/>
        <v>364.60766999999998</v>
      </c>
      <c r="Q116" s="52">
        <f t="shared" si="130"/>
        <v>51867.92583</v>
      </c>
      <c r="R116" s="42">
        <f t="shared" si="130"/>
        <v>52311</v>
      </c>
      <c r="S116" s="43">
        <f t="shared" si="130"/>
        <v>5766.3135000000002</v>
      </c>
      <c r="T116" s="15">
        <f t="shared" si="130"/>
        <v>26794.136729999998</v>
      </c>
      <c r="U116" s="15">
        <f t="shared" si="130"/>
        <v>3811648.5497700004</v>
      </c>
      <c r="V116" s="39">
        <f t="shared" si="130"/>
        <v>3844209</v>
      </c>
      <c r="W116" s="14">
        <f t="shared" si="114"/>
        <v>3844209</v>
      </c>
      <c r="X116" s="14">
        <f t="shared" si="115"/>
        <v>0</v>
      </c>
      <c r="Z116" s="14">
        <f t="shared" si="116"/>
        <v>3844209</v>
      </c>
      <c r="AB116" s="14">
        <f t="shared" si="117"/>
        <v>0</v>
      </c>
      <c r="AC116" s="14">
        <f t="shared" si="118"/>
        <v>0</v>
      </c>
      <c r="AD116" s="69">
        <f t="shared" si="119"/>
        <v>1.5E-3</v>
      </c>
      <c r="AE116" s="69">
        <f t="shared" si="120"/>
        <v>6.9699999999999996E-3</v>
      </c>
      <c r="AF116" s="69">
        <f t="shared" si="121"/>
        <v>0.99153000000000013</v>
      </c>
      <c r="AH116" s="68">
        <f t="shared" si="122"/>
        <v>0</v>
      </c>
      <c r="AI116" s="68">
        <f t="shared" si="123"/>
        <v>0</v>
      </c>
      <c r="AJ116" s="68">
        <f t="shared" si="124"/>
        <v>0</v>
      </c>
    </row>
    <row r="117" spans="1:36" ht="22.5" customHeight="1" x14ac:dyDescent="0.2">
      <c r="A117" s="16" t="s">
        <v>49</v>
      </c>
      <c r="B117" s="27">
        <v>8.3899999999999999E-3</v>
      </c>
      <c r="C117" s="27">
        <v>0.13835</v>
      </c>
      <c r="D117" s="27">
        <v>0.85326000000000002</v>
      </c>
      <c r="E117" s="27">
        <f t="shared" si="125"/>
        <v>1</v>
      </c>
      <c r="F117" s="29">
        <v>4411828</v>
      </c>
      <c r="G117" s="43">
        <f t="shared" ref="G117:V117" si="131">G13+G32+G49+G66+G83+G100</f>
        <v>10245.163240000002</v>
      </c>
      <c r="H117" s="15">
        <f t="shared" si="131"/>
        <v>168941.39860000001</v>
      </c>
      <c r="I117" s="15">
        <f t="shared" si="131"/>
        <v>1041929.4381600001</v>
      </c>
      <c r="J117" s="41">
        <f>J13+J32+J49+J66+J83+J100</f>
        <v>1221116</v>
      </c>
      <c r="K117" s="43">
        <f t="shared" si="131"/>
        <v>25389.213919999998</v>
      </c>
      <c r="L117" s="15">
        <f t="shared" si="131"/>
        <v>418664.8088</v>
      </c>
      <c r="M117" s="15">
        <f t="shared" si="131"/>
        <v>2582073.9772800002</v>
      </c>
      <c r="N117" s="39">
        <f t="shared" si="131"/>
        <v>3026128</v>
      </c>
      <c r="O117" s="43">
        <f t="shared" si="131"/>
        <v>1380.8597599999998</v>
      </c>
      <c r="P117" s="52">
        <f t="shared" si="131"/>
        <v>22770.196400000001</v>
      </c>
      <c r="Q117" s="52">
        <f t="shared" si="131"/>
        <v>140432.94384000002</v>
      </c>
      <c r="R117" s="42">
        <f t="shared" si="131"/>
        <v>164584</v>
      </c>
      <c r="S117" s="43">
        <f t="shared" si="131"/>
        <v>37015.236919999996</v>
      </c>
      <c r="T117" s="15">
        <f t="shared" si="131"/>
        <v>610376.40379999997</v>
      </c>
      <c r="U117" s="15">
        <f t="shared" si="131"/>
        <v>3764436.35928</v>
      </c>
      <c r="V117" s="39">
        <f t="shared" si="131"/>
        <v>4411828</v>
      </c>
      <c r="W117" s="14">
        <f t="shared" si="114"/>
        <v>4411828</v>
      </c>
      <c r="X117" s="14">
        <f t="shared" si="115"/>
        <v>0</v>
      </c>
      <c r="Z117" s="14">
        <f t="shared" si="116"/>
        <v>4411828</v>
      </c>
      <c r="AB117" s="14">
        <f t="shared" si="117"/>
        <v>0</v>
      </c>
      <c r="AC117" s="14">
        <f t="shared" si="118"/>
        <v>0</v>
      </c>
      <c r="AD117" s="69">
        <f t="shared" si="119"/>
        <v>8.3899999999999999E-3</v>
      </c>
      <c r="AE117" s="69">
        <f t="shared" si="120"/>
        <v>0.13835</v>
      </c>
      <c r="AF117" s="69">
        <f t="shared" si="121"/>
        <v>0.85326000000000002</v>
      </c>
      <c r="AH117" s="68">
        <f t="shared" si="122"/>
        <v>0</v>
      </c>
      <c r="AI117" s="68">
        <f t="shared" si="123"/>
        <v>0</v>
      </c>
      <c r="AJ117" s="68">
        <f t="shared" si="124"/>
        <v>0</v>
      </c>
    </row>
    <row r="118" spans="1:36" ht="22.5" customHeight="1" x14ac:dyDescent="0.2">
      <c r="A118" s="16" t="s">
        <v>50</v>
      </c>
      <c r="B118" s="27">
        <v>3.1269999999999999E-2</v>
      </c>
      <c r="C118" s="27">
        <v>5.3420000000000002E-2</v>
      </c>
      <c r="D118" s="27">
        <v>0.91530999999999996</v>
      </c>
      <c r="E118" s="27">
        <f t="shared" si="125"/>
        <v>1</v>
      </c>
      <c r="F118" s="29">
        <v>3999058</v>
      </c>
      <c r="G118" s="43">
        <f t="shared" ref="G118:V118" si="132">G14+G33+G50+G67+G84+G101</f>
        <v>45392.501369999998</v>
      </c>
      <c r="H118" s="15">
        <f t="shared" si="132"/>
        <v>77546.128020000004</v>
      </c>
      <c r="I118" s="15">
        <f t="shared" si="132"/>
        <v>1328692.3706099999</v>
      </c>
      <c r="J118" s="41">
        <f t="shared" si="132"/>
        <v>1451631</v>
      </c>
      <c r="K118" s="43">
        <f t="shared" si="132"/>
        <v>76495.331949999993</v>
      </c>
      <c r="L118" s="15">
        <f t="shared" si="132"/>
        <v>130680.54470000001</v>
      </c>
      <c r="M118" s="15">
        <f t="shared" si="132"/>
        <v>2239109.12335</v>
      </c>
      <c r="N118" s="39">
        <f t="shared" si="132"/>
        <v>2446285</v>
      </c>
      <c r="O118" s="43">
        <f t="shared" si="132"/>
        <v>3162.7103399999996</v>
      </c>
      <c r="P118" s="52">
        <f t="shared" si="132"/>
        <v>5403.0056400000003</v>
      </c>
      <c r="Q118" s="52">
        <f t="shared" si="132"/>
        <v>92576.284019999992</v>
      </c>
      <c r="R118" s="42">
        <f t="shared" si="132"/>
        <v>101142</v>
      </c>
      <c r="S118" s="43">
        <f t="shared" si="132"/>
        <v>125050.54366</v>
      </c>
      <c r="T118" s="15">
        <f t="shared" si="132"/>
        <v>213629.67836000002</v>
      </c>
      <c r="U118" s="15">
        <f t="shared" si="132"/>
        <v>3660377.7779799998</v>
      </c>
      <c r="V118" s="39">
        <f t="shared" si="132"/>
        <v>3999058</v>
      </c>
      <c r="W118" s="14">
        <f t="shared" si="114"/>
        <v>3999058</v>
      </c>
      <c r="X118" s="14">
        <f t="shared" si="115"/>
        <v>0</v>
      </c>
      <c r="Z118" s="14">
        <f t="shared" si="116"/>
        <v>3999058</v>
      </c>
      <c r="AB118" s="14">
        <f t="shared" si="117"/>
        <v>0</v>
      </c>
      <c r="AC118" s="14">
        <f t="shared" si="118"/>
        <v>0</v>
      </c>
      <c r="AD118" s="69">
        <f t="shared" si="119"/>
        <v>3.1269999999999999E-2</v>
      </c>
      <c r="AE118" s="69">
        <f t="shared" si="120"/>
        <v>5.3420000000000002E-2</v>
      </c>
      <c r="AF118" s="69">
        <f t="shared" si="121"/>
        <v>0.91530999999999996</v>
      </c>
      <c r="AH118" s="68">
        <f t="shared" si="122"/>
        <v>0</v>
      </c>
      <c r="AI118" s="68">
        <f t="shared" si="123"/>
        <v>0</v>
      </c>
      <c r="AJ118" s="68">
        <f t="shared" si="124"/>
        <v>0</v>
      </c>
    </row>
    <row r="119" spans="1:36" ht="22.5" customHeight="1" x14ac:dyDescent="0.2">
      <c r="A119" s="16" t="s">
        <v>53</v>
      </c>
      <c r="B119" s="27">
        <v>0.10236000000000001</v>
      </c>
      <c r="C119" s="27">
        <v>7.374E-2</v>
      </c>
      <c r="D119" s="27">
        <v>0.82389999999999997</v>
      </c>
      <c r="E119" s="27">
        <f t="shared" si="125"/>
        <v>1</v>
      </c>
      <c r="F119" s="29">
        <v>888919</v>
      </c>
      <c r="G119" s="43">
        <f t="shared" ref="G119:V119" si="133">G15+G34+G51+G68+G85+G102</f>
        <v>59142.277320000008</v>
      </c>
      <c r="H119" s="15">
        <f t="shared" si="133"/>
        <v>42606.013380000004</v>
      </c>
      <c r="I119" s="15">
        <f t="shared" si="133"/>
        <v>476038.70929999993</v>
      </c>
      <c r="J119" s="41">
        <f t="shared" si="133"/>
        <v>577787</v>
      </c>
      <c r="K119" s="43">
        <f t="shared" si="133"/>
        <v>29113.94772</v>
      </c>
      <c r="L119" s="15">
        <f t="shared" si="133"/>
        <v>20973.646979999998</v>
      </c>
      <c r="M119" s="15">
        <f t="shared" si="133"/>
        <v>234339.40529999998</v>
      </c>
      <c r="N119" s="39">
        <f t="shared" si="133"/>
        <v>284427</v>
      </c>
      <c r="O119" s="43">
        <f t="shared" si="133"/>
        <v>2733.5237999999999</v>
      </c>
      <c r="P119" s="52">
        <f t="shared" si="133"/>
        <v>1969.2267000000002</v>
      </c>
      <c r="Q119" s="52">
        <f t="shared" si="133"/>
        <v>22002.249499999998</v>
      </c>
      <c r="R119" s="42">
        <f t="shared" si="133"/>
        <v>26705</v>
      </c>
      <c r="S119" s="43">
        <f t="shared" si="133"/>
        <v>90989.74884</v>
      </c>
      <c r="T119" s="15">
        <f t="shared" si="133"/>
        <v>65548.887060000008</v>
      </c>
      <c r="U119" s="15">
        <f t="shared" si="133"/>
        <v>732380.36410000001</v>
      </c>
      <c r="V119" s="39">
        <f t="shared" si="133"/>
        <v>888919</v>
      </c>
      <c r="W119" s="14">
        <f t="shared" si="114"/>
        <v>888919</v>
      </c>
      <c r="X119" s="14">
        <f t="shared" si="115"/>
        <v>0</v>
      </c>
      <c r="Z119" s="14">
        <f t="shared" si="116"/>
        <v>888919</v>
      </c>
      <c r="AB119" s="14">
        <f t="shared" si="117"/>
        <v>0</v>
      </c>
      <c r="AC119" s="14">
        <f t="shared" si="118"/>
        <v>0</v>
      </c>
      <c r="AD119" s="69">
        <f t="shared" si="119"/>
        <v>0.10236000000000001</v>
      </c>
      <c r="AE119" s="69">
        <f t="shared" si="120"/>
        <v>7.3740000000000014E-2</v>
      </c>
      <c r="AF119" s="69">
        <f t="shared" si="121"/>
        <v>0.82389999999999997</v>
      </c>
      <c r="AH119" s="68">
        <f t="shared" si="122"/>
        <v>0</v>
      </c>
      <c r="AI119" s="68">
        <f t="shared" si="123"/>
        <v>0</v>
      </c>
      <c r="AJ119" s="68">
        <f t="shared" si="124"/>
        <v>0</v>
      </c>
    </row>
    <row r="120" spans="1:36" ht="22.5" customHeight="1" thickBot="1" x14ac:dyDescent="0.25">
      <c r="A120" s="10" t="s">
        <v>54</v>
      </c>
      <c r="B120" s="11"/>
      <c r="C120" s="11"/>
      <c r="D120" s="11"/>
      <c r="E120" s="11"/>
      <c r="F120" s="29">
        <f t="shared" ref="F120" si="134">SUM(F111:F119)</f>
        <v>18568833</v>
      </c>
      <c r="G120" s="22">
        <f t="shared" ref="G120:V120" si="135">SUM(G111:G119)</f>
        <v>226411.34758</v>
      </c>
      <c r="H120" s="51">
        <f t="shared" si="135"/>
        <v>545209.79960999999</v>
      </c>
      <c r="I120" s="51">
        <f t="shared" si="135"/>
        <v>5759815.8528100001</v>
      </c>
      <c r="J120" s="38">
        <f t="shared" si="135"/>
        <v>6531437</v>
      </c>
      <c r="K120" s="22">
        <f t="shared" si="135"/>
        <v>666355.09276000003</v>
      </c>
      <c r="L120" s="23">
        <f t="shared" si="135"/>
        <v>1293982.6454899998</v>
      </c>
      <c r="M120" s="23">
        <f t="shared" si="135"/>
        <v>9659241.2617500015</v>
      </c>
      <c r="N120" s="24">
        <f t="shared" si="135"/>
        <v>11619579</v>
      </c>
      <c r="O120" s="22">
        <f t="shared" si="135"/>
        <v>17014.064190000001</v>
      </c>
      <c r="P120" s="51">
        <f t="shared" si="135"/>
        <v>42464.713240000005</v>
      </c>
      <c r="Q120" s="51">
        <f t="shared" si="135"/>
        <v>358338.22256999998</v>
      </c>
      <c r="R120" s="38">
        <f t="shared" si="135"/>
        <v>417817</v>
      </c>
      <c r="S120" s="22">
        <f t="shared" si="135"/>
        <v>909780.50453000003</v>
      </c>
      <c r="T120" s="23">
        <f t="shared" si="135"/>
        <v>1881657.1583400001</v>
      </c>
      <c r="U120" s="23">
        <f t="shared" si="135"/>
        <v>15777395.337129999</v>
      </c>
      <c r="V120" s="24">
        <f t="shared" si="135"/>
        <v>18568833</v>
      </c>
      <c r="W120" s="25">
        <f t="shared" si="114"/>
        <v>18568833</v>
      </c>
      <c r="X120" s="25">
        <f t="shared" si="115"/>
        <v>0</v>
      </c>
      <c r="Y120" s="18"/>
      <c r="Z120" s="25">
        <f t="shared" si="116"/>
        <v>18568833</v>
      </c>
      <c r="AA120" s="18"/>
      <c r="AB120" s="25">
        <f t="shared" si="117"/>
        <v>0</v>
      </c>
      <c r="AC120" s="14">
        <f t="shared" si="118"/>
        <v>0</v>
      </c>
      <c r="AD120" s="69"/>
      <c r="AG120" s="18"/>
      <c r="AH120" s="18"/>
      <c r="AI120" s="18"/>
      <c r="AJ120" s="18"/>
    </row>
    <row r="123" spans="1:36" ht="21.75" customHeight="1" x14ac:dyDescent="0.2">
      <c r="W123" s="6" t="s">
        <v>98</v>
      </c>
    </row>
    <row r="124" spans="1:36" ht="21.75" customHeight="1" x14ac:dyDescent="0.2">
      <c r="X124" s="86" t="s">
        <v>44</v>
      </c>
      <c r="Y124" s="86" t="s">
        <v>62</v>
      </c>
      <c r="Z124" s="86" t="s">
        <v>97</v>
      </c>
    </row>
    <row r="125" spans="1:36" ht="21.75" customHeight="1" x14ac:dyDescent="0.2">
      <c r="X125" s="87"/>
      <c r="Y125" s="87"/>
      <c r="Z125" s="87"/>
    </row>
    <row r="126" spans="1:36" ht="21.75" customHeight="1" x14ac:dyDescent="0.2">
      <c r="W126" s="90">
        <f>X126+Y126+Z126</f>
        <v>3002093</v>
      </c>
      <c r="X126" s="91">
        <f>X7+X26+X43+X60+X77+X94</f>
        <v>473730</v>
      </c>
      <c r="Y126" s="91">
        <f t="shared" ref="Y126:Z126" si="136">Y7+Y26+Y43+Y60+Y77+Y94</f>
        <v>2528363</v>
      </c>
      <c r="Z126" s="91">
        <f t="shared" si="136"/>
        <v>0</v>
      </c>
    </row>
    <row r="127" spans="1:36" ht="21.75" customHeight="1" x14ac:dyDescent="0.2">
      <c r="W127" s="90">
        <f t="shared" ref="W127:W135" si="137">X127+Y127+Z127</f>
        <v>288813</v>
      </c>
      <c r="X127" s="91">
        <f t="shared" ref="X127:Z127" si="138">X8+X27+X44+X61+X78+X95</f>
        <v>0</v>
      </c>
      <c r="Y127" s="91">
        <f t="shared" si="138"/>
        <v>288813</v>
      </c>
      <c r="Z127" s="91">
        <f t="shared" si="138"/>
        <v>0</v>
      </c>
    </row>
    <row r="128" spans="1:36" ht="21.75" customHeight="1" x14ac:dyDescent="0.2">
      <c r="W128" s="90">
        <f>X128+Y128+Z128</f>
        <v>229921</v>
      </c>
      <c r="X128" s="91">
        <f>X9+X28+X45+X62+X79+X96</f>
        <v>70357</v>
      </c>
      <c r="Y128" s="91">
        <f t="shared" ref="Y128" si="139">Y9+Y28+Y45+Y62+Y79+Y96</f>
        <v>111350</v>
      </c>
      <c r="Z128" s="91">
        <f>Z9+Z28+Z45+Z62+Z79+Z96</f>
        <v>48214</v>
      </c>
    </row>
    <row r="129" spans="1:26" ht="21.75" customHeight="1" x14ac:dyDescent="0.2">
      <c r="W129" s="90">
        <f t="shared" si="137"/>
        <v>39439</v>
      </c>
      <c r="X129" s="91">
        <f>X10+X29+X46+X63+X80+X97</f>
        <v>16643</v>
      </c>
      <c r="Y129" s="91">
        <f t="shared" ref="Y129:Z129" si="140">Y10+Y29+Y46+Y63+Y80+Y97</f>
        <v>21769</v>
      </c>
      <c r="Z129" s="91">
        <f t="shared" si="140"/>
        <v>1027</v>
      </c>
    </row>
    <row r="130" spans="1:26" ht="21.75" customHeight="1" x14ac:dyDescent="0.2">
      <c r="A130" s="104"/>
      <c r="B130" s="104" t="s">
        <v>44</v>
      </c>
      <c r="C130" s="104" t="s">
        <v>96</v>
      </c>
      <c r="D130" s="104" t="s">
        <v>100</v>
      </c>
      <c r="E130" s="104" t="s">
        <v>0</v>
      </c>
      <c r="W130" s="90">
        <f t="shared" si="137"/>
        <v>1864553</v>
      </c>
      <c r="X130" s="91">
        <f t="shared" ref="X130:Z130" si="141">X11+X30+X47+X64+X81+X98</f>
        <v>655816</v>
      </c>
      <c r="Y130" s="91">
        <f t="shared" si="141"/>
        <v>1184903</v>
      </c>
      <c r="Z130" s="91">
        <f t="shared" si="141"/>
        <v>23834</v>
      </c>
    </row>
    <row r="131" spans="1:26" ht="31.5" customHeight="1" x14ac:dyDescent="0.2">
      <c r="A131" s="105" t="s">
        <v>45</v>
      </c>
      <c r="B131" s="106">
        <v>473730</v>
      </c>
      <c r="C131" s="106">
        <v>2528363</v>
      </c>
      <c r="D131" s="106"/>
      <c r="E131" s="106">
        <f>D131+C131+B131</f>
        <v>3002093</v>
      </c>
      <c r="F131" s="14">
        <f>E131-F111</f>
        <v>0</v>
      </c>
      <c r="W131" s="90">
        <f t="shared" si="137"/>
        <v>3844209</v>
      </c>
      <c r="X131" s="91">
        <f t="shared" ref="X131:Z131" si="142">X12+X31+X48+X65+X82+X99</f>
        <v>2064357</v>
      </c>
      <c r="Y131" s="91">
        <f t="shared" si="142"/>
        <v>1727541</v>
      </c>
      <c r="Z131" s="91">
        <f t="shared" si="142"/>
        <v>52311</v>
      </c>
    </row>
    <row r="132" spans="1:26" ht="45" customHeight="1" x14ac:dyDescent="0.2">
      <c r="A132" s="103" t="s">
        <v>47</v>
      </c>
      <c r="B132" s="107">
        <v>0</v>
      </c>
      <c r="C132" s="107">
        <v>288813</v>
      </c>
      <c r="D132" s="107">
        <v>0</v>
      </c>
      <c r="E132" s="106">
        <f t="shared" ref="E132:E139" si="143">D132+C132+B132</f>
        <v>288813</v>
      </c>
      <c r="F132" s="14">
        <f t="shared" ref="F132:F140" si="144">E132-F112</f>
        <v>0</v>
      </c>
      <c r="W132" s="90">
        <f t="shared" si="137"/>
        <v>4411828</v>
      </c>
      <c r="X132" s="91">
        <f t="shared" ref="X132:Z132" si="145">X13+X32+X49+X66+X83+X100</f>
        <v>1221116</v>
      </c>
      <c r="Y132" s="91">
        <f t="shared" si="145"/>
        <v>3026128</v>
      </c>
      <c r="Z132" s="91">
        <f t="shared" si="145"/>
        <v>164584</v>
      </c>
    </row>
    <row r="133" spans="1:26" ht="29.25" customHeight="1" x14ac:dyDescent="0.2">
      <c r="A133" s="103" t="s">
        <v>48</v>
      </c>
      <c r="B133" s="107">
        <v>70356</v>
      </c>
      <c r="C133" s="107">
        <v>111350</v>
      </c>
      <c r="D133" s="107">
        <v>48215</v>
      </c>
      <c r="E133" s="106">
        <f t="shared" si="143"/>
        <v>229921</v>
      </c>
      <c r="F133" s="14">
        <f t="shared" si="144"/>
        <v>0</v>
      </c>
      <c r="W133" s="90">
        <f t="shared" si="137"/>
        <v>3999058</v>
      </c>
      <c r="X133" s="91">
        <f t="shared" ref="X133:Z133" si="146">X14+X33+X50+X67+X84+X101</f>
        <v>1451631</v>
      </c>
      <c r="Y133" s="91">
        <f t="shared" si="146"/>
        <v>2446285</v>
      </c>
      <c r="Z133" s="91">
        <f t="shared" si="146"/>
        <v>101142</v>
      </c>
    </row>
    <row r="134" spans="1:26" ht="29.25" customHeight="1" x14ac:dyDescent="0.2">
      <c r="A134" s="103" t="s">
        <v>46</v>
      </c>
      <c r="B134" s="107">
        <v>16643</v>
      </c>
      <c r="C134" s="107">
        <v>21770</v>
      </c>
      <c r="D134" s="107">
        <v>1026</v>
      </c>
      <c r="E134" s="106">
        <f t="shared" si="143"/>
        <v>39439</v>
      </c>
      <c r="F134" s="14">
        <f t="shared" si="144"/>
        <v>0</v>
      </c>
      <c r="W134" s="90">
        <f t="shared" si="137"/>
        <v>888919</v>
      </c>
      <c r="X134" s="91">
        <f t="shared" ref="X134:Z134" si="147">X15+X34+X51+X68+X85+X102</f>
        <v>577787</v>
      </c>
      <c r="Y134" s="91">
        <f t="shared" si="147"/>
        <v>284427</v>
      </c>
      <c r="Z134" s="91">
        <f t="shared" si="147"/>
        <v>26705</v>
      </c>
    </row>
    <row r="135" spans="1:26" ht="29.25" customHeight="1" x14ac:dyDescent="0.2">
      <c r="A135" s="103" t="s">
        <v>51</v>
      </c>
      <c r="B135" s="107">
        <v>655815</v>
      </c>
      <c r="C135" s="107">
        <v>1184903</v>
      </c>
      <c r="D135" s="107">
        <v>23835</v>
      </c>
      <c r="E135" s="106">
        <f t="shared" si="143"/>
        <v>1864553</v>
      </c>
      <c r="F135" s="14">
        <f t="shared" si="144"/>
        <v>0</v>
      </c>
      <c r="W135" s="14">
        <f t="shared" si="137"/>
        <v>18568833</v>
      </c>
      <c r="X135" s="88">
        <f>X16+X35+X52+X69+X86+X103</f>
        <v>6531437</v>
      </c>
      <c r="Y135" s="88">
        <f t="shared" ref="Y135:Z135" si="148">Y16+Y35+Y52+Y69+Y86+Y103</f>
        <v>11619579</v>
      </c>
      <c r="Z135" s="88">
        <f t="shared" si="148"/>
        <v>417817</v>
      </c>
    </row>
    <row r="136" spans="1:26" ht="29.25" customHeight="1" x14ac:dyDescent="0.2">
      <c r="A136" s="103" t="s">
        <v>52</v>
      </c>
      <c r="B136" s="107">
        <v>2064357</v>
      </c>
      <c r="C136" s="107">
        <v>1727543</v>
      </c>
      <c r="D136" s="107">
        <v>52309</v>
      </c>
      <c r="E136" s="106">
        <f t="shared" si="143"/>
        <v>3844209</v>
      </c>
      <c r="F136" s="14">
        <f t="shared" si="144"/>
        <v>0</v>
      </c>
      <c r="X136" s="89"/>
      <c r="Y136" s="89"/>
      <c r="Z136" s="89"/>
    </row>
    <row r="137" spans="1:26" ht="29.25" customHeight="1" x14ac:dyDescent="0.2">
      <c r="A137" s="103" t="s">
        <v>49</v>
      </c>
      <c r="B137" s="107">
        <v>1221116</v>
      </c>
      <c r="C137" s="107">
        <v>3026127</v>
      </c>
      <c r="D137" s="107">
        <v>164585</v>
      </c>
      <c r="E137" s="106">
        <f t="shared" si="143"/>
        <v>4411828</v>
      </c>
      <c r="F137" s="14">
        <f t="shared" si="144"/>
        <v>0</v>
      </c>
      <c r="X137" s="14"/>
      <c r="Y137" s="14"/>
      <c r="Z137" s="14"/>
    </row>
    <row r="138" spans="1:26" ht="29.25" customHeight="1" x14ac:dyDescent="0.2">
      <c r="A138" s="103" t="s">
        <v>50</v>
      </c>
      <c r="B138" s="107">
        <v>1451630</v>
      </c>
      <c r="C138" s="107">
        <v>2446286</v>
      </c>
      <c r="D138" s="107">
        <v>101142</v>
      </c>
      <c r="E138" s="106">
        <f t="shared" si="143"/>
        <v>3999058</v>
      </c>
      <c r="F138" s="14">
        <f t="shared" si="144"/>
        <v>0</v>
      </c>
      <c r="X138" s="14"/>
      <c r="Y138" s="14"/>
      <c r="Z138" s="14"/>
    </row>
    <row r="139" spans="1:26" ht="35.25" customHeight="1" x14ac:dyDescent="0.2">
      <c r="A139" s="103" t="s">
        <v>53</v>
      </c>
      <c r="B139" s="107">
        <v>577787</v>
      </c>
      <c r="C139" s="107">
        <v>284427</v>
      </c>
      <c r="D139" s="107">
        <v>26705</v>
      </c>
      <c r="E139" s="106">
        <f t="shared" si="143"/>
        <v>888919</v>
      </c>
      <c r="F139" s="14">
        <f t="shared" si="144"/>
        <v>0</v>
      </c>
      <c r="X139" s="14"/>
      <c r="Y139" s="14"/>
      <c r="Z139" s="14"/>
    </row>
    <row r="140" spans="1:26" ht="21.75" customHeight="1" x14ac:dyDescent="0.2">
      <c r="B140" s="108">
        <f>SUM(B131:B139)</f>
        <v>6531434</v>
      </c>
      <c r="C140" s="108">
        <f t="shared" ref="C140:E140" si="149">SUM(C131:C139)</f>
        <v>11619582</v>
      </c>
      <c r="D140" s="108">
        <f t="shared" si="149"/>
        <v>417817</v>
      </c>
      <c r="E140" s="108">
        <f t="shared" si="149"/>
        <v>18568833</v>
      </c>
      <c r="F140" s="14">
        <f t="shared" si="144"/>
        <v>0</v>
      </c>
      <c r="X140" s="14"/>
      <c r="Y140" s="14"/>
      <c r="Z140" s="14"/>
    </row>
  </sheetData>
  <mergeCells count="84">
    <mergeCell ref="G109:J109"/>
    <mergeCell ref="G108:V108"/>
    <mergeCell ref="K109:N109"/>
    <mergeCell ref="O109:R109"/>
    <mergeCell ref="S109:V109"/>
    <mergeCell ref="G75:J75"/>
    <mergeCell ref="G74:V74"/>
    <mergeCell ref="K75:N75"/>
    <mergeCell ref="O75:R75"/>
    <mergeCell ref="S75:V75"/>
    <mergeCell ref="G92:J92"/>
    <mergeCell ref="G91:V91"/>
    <mergeCell ref="K92:N92"/>
    <mergeCell ref="O92:R92"/>
    <mergeCell ref="S92:V92"/>
    <mergeCell ref="G40:V40"/>
    <mergeCell ref="G41:J41"/>
    <mergeCell ref="K41:N41"/>
    <mergeCell ref="O41:R41"/>
    <mergeCell ref="S41:V41"/>
    <mergeCell ref="G58:J58"/>
    <mergeCell ref="G57:V57"/>
    <mergeCell ref="K58:N58"/>
    <mergeCell ref="O58:R58"/>
    <mergeCell ref="S58:V58"/>
    <mergeCell ref="G5:J5"/>
    <mergeCell ref="G4:V4"/>
    <mergeCell ref="K5:N5"/>
    <mergeCell ref="O5:R5"/>
    <mergeCell ref="S5:V5"/>
    <mergeCell ref="G24:J24"/>
    <mergeCell ref="G23:V23"/>
    <mergeCell ref="K24:N24"/>
    <mergeCell ref="O24:R24"/>
    <mergeCell ref="S24:V24"/>
    <mergeCell ref="A3:A5"/>
    <mergeCell ref="B3:E3"/>
    <mergeCell ref="F3:F5"/>
    <mergeCell ref="B4:B5"/>
    <mergeCell ref="C4:C5"/>
    <mergeCell ref="D4:D5"/>
    <mergeCell ref="E4:E5"/>
    <mergeCell ref="A22:A24"/>
    <mergeCell ref="B22:E22"/>
    <mergeCell ref="F22:F24"/>
    <mergeCell ref="B23:B24"/>
    <mergeCell ref="C23:C24"/>
    <mergeCell ref="D23:D24"/>
    <mergeCell ref="E23:E24"/>
    <mergeCell ref="A39:A41"/>
    <mergeCell ref="B39:E39"/>
    <mergeCell ref="F39:F41"/>
    <mergeCell ref="B40:B41"/>
    <mergeCell ref="C40:C41"/>
    <mergeCell ref="D40:D41"/>
    <mergeCell ref="E40:E41"/>
    <mergeCell ref="A56:A58"/>
    <mergeCell ref="B56:E56"/>
    <mergeCell ref="F56:F58"/>
    <mergeCell ref="B57:B58"/>
    <mergeCell ref="C57:C58"/>
    <mergeCell ref="D57:D58"/>
    <mergeCell ref="E57:E58"/>
    <mergeCell ref="A73:A75"/>
    <mergeCell ref="B73:E73"/>
    <mergeCell ref="F73:F75"/>
    <mergeCell ref="B74:B75"/>
    <mergeCell ref="C74:C75"/>
    <mergeCell ref="D74:D75"/>
    <mergeCell ref="E74:E75"/>
    <mergeCell ref="A90:A92"/>
    <mergeCell ref="B90:E90"/>
    <mergeCell ref="F90:F92"/>
    <mergeCell ref="B91:B92"/>
    <mergeCell ref="C91:C92"/>
    <mergeCell ref="D91:D92"/>
    <mergeCell ref="E91:E92"/>
    <mergeCell ref="A107:A109"/>
    <mergeCell ref="B107:E107"/>
    <mergeCell ref="F107:F109"/>
    <mergeCell ref="B108:B109"/>
    <mergeCell ref="C108:C109"/>
    <mergeCell ref="D108:D109"/>
    <mergeCell ref="E108:E109"/>
  </mergeCells>
  <pageMargins left="0.15748031496062992" right="0.15748031496062992" top="0.18" bottom="0.15748031496062992" header="0.31496062992125984" footer="0.31496062992125984"/>
  <pageSetup paperSize="9" scale="32" fitToHeight="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02"/>
  <sheetViews>
    <sheetView zoomScale="90" zoomScaleNormal="90" workbookViewId="0">
      <selection sqref="A1:O432"/>
    </sheetView>
  </sheetViews>
  <sheetFormatPr defaultRowHeight="15.75" x14ac:dyDescent="0.25"/>
  <cols>
    <col min="1" max="1" width="4" style="1" customWidth="1"/>
    <col min="2" max="2" width="30.5703125" style="1" customWidth="1"/>
    <col min="3" max="3" width="16.42578125" customWidth="1"/>
    <col min="4" max="4" width="18.140625" customWidth="1"/>
    <col min="5" max="5" width="15" customWidth="1"/>
    <col min="6" max="6" width="14.42578125" customWidth="1"/>
    <col min="7" max="7" width="17.140625" customWidth="1"/>
    <col min="8" max="8" width="18.85546875" style="64" customWidth="1"/>
    <col min="9" max="9" width="15.28515625" style="64" customWidth="1"/>
    <col min="10" max="10" width="12.85546875" style="64" customWidth="1"/>
    <col min="11" max="11" width="15.42578125" style="64" customWidth="1"/>
    <col min="12" max="12" width="17.7109375" style="64" customWidth="1"/>
    <col min="13" max="13" width="15.42578125" style="64" customWidth="1"/>
    <col min="14" max="14" width="13.140625" style="64" customWidth="1"/>
    <col min="15" max="15" width="15.85546875" style="64" customWidth="1"/>
    <col min="16" max="16" width="0.85546875" customWidth="1"/>
    <col min="17" max="17" width="2" hidden="1" customWidth="1"/>
    <col min="18" max="18" width="18.140625" style="60" customWidth="1"/>
    <col min="19" max="19" width="14.5703125" style="60" customWidth="1"/>
    <col min="20" max="20" width="3.85546875" customWidth="1"/>
    <col min="21" max="21" width="0" hidden="1" customWidth="1"/>
    <col min="22" max="22" width="14.140625" style="60" bestFit="1" customWidth="1"/>
    <col min="23" max="23" width="16.28515625" style="60" bestFit="1" customWidth="1"/>
    <col min="24" max="24" width="14.42578125" style="60" customWidth="1"/>
    <col min="25" max="25" width="15.85546875" style="60" customWidth="1"/>
    <col min="26" max="26" width="15" style="60" bestFit="1" customWidth="1"/>
    <col min="29" max="29" width="13.140625" style="97" bestFit="1" customWidth="1"/>
    <col min="30" max="30" width="15" style="97" customWidth="1"/>
    <col min="31" max="31" width="11.5703125" style="97" customWidth="1"/>
    <col min="32" max="32" width="14.5703125" style="97" customWidth="1"/>
    <col min="33" max="33" width="9.140625" style="92"/>
    <col min="34" max="34" width="9.140625" style="97"/>
  </cols>
  <sheetData>
    <row r="1" spans="1:34" x14ac:dyDescent="0.25">
      <c r="A1" s="161" t="s">
        <v>94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</row>
    <row r="2" spans="1:34" hidden="1" x14ac:dyDescent="0.25">
      <c r="A2" s="5"/>
    </row>
    <row r="3" spans="1:34" s="4" customFormat="1" ht="28.5" hidden="1" customHeight="1" x14ac:dyDescent="0.25">
      <c r="A3" s="152" t="s">
        <v>17</v>
      </c>
      <c r="B3" s="152" t="s">
        <v>33</v>
      </c>
      <c r="C3" s="152" t="s">
        <v>35</v>
      </c>
      <c r="D3" s="152" t="s">
        <v>69</v>
      </c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R3" s="61"/>
      <c r="S3" s="61"/>
      <c r="V3" s="61"/>
      <c r="W3" s="61"/>
      <c r="X3" s="61"/>
      <c r="Y3" s="61"/>
      <c r="Z3" s="61"/>
      <c r="AC3" s="95"/>
      <c r="AD3" s="95"/>
      <c r="AE3" s="95"/>
      <c r="AF3" s="95"/>
      <c r="AG3" s="93"/>
      <c r="AH3" s="95"/>
    </row>
    <row r="4" spans="1:34" s="4" customFormat="1" ht="41.25" hidden="1" customHeight="1" x14ac:dyDescent="0.25">
      <c r="A4" s="152"/>
      <c r="B4" s="152"/>
      <c r="C4" s="152"/>
      <c r="D4" s="154" t="s">
        <v>36</v>
      </c>
      <c r="E4" s="154"/>
      <c r="F4" s="154"/>
      <c r="G4" s="154"/>
      <c r="H4" s="155" t="s">
        <v>37</v>
      </c>
      <c r="I4" s="156"/>
      <c r="J4" s="156"/>
      <c r="K4" s="157"/>
      <c r="L4" s="155" t="s">
        <v>38</v>
      </c>
      <c r="M4" s="156"/>
      <c r="N4" s="156"/>
      <c r="O4" s="157"/>
      <c r="R4" s="61"/>
      <c r="S4" s="61"/>
      <c r="V4" s="61"/>
      <c r="W4" s="61"/>
      <c r="X4" s="61"/>
      <c r="Y4" s="61"/>
      <c r="Z4" s="61"/>
      <c r="AC4" s="95"/>
      <c r="AD4" s="95"/>
      <c r="AE4" s="95"/>
      <c r="AF4" s="95"/>
      <c r="AG4" s="93"/>
      <c r="AH4" s="95"/>
    </row>
    <row r="5" spans="1:34" s="4" customFormat="1" ht="59.25" hidden="1" customHeight="1" x14ac:dyDescent="0.25">
      <c r="A5" s="152"/>
      <c r="B5" s="152"/>
      <c r="C5" s="152"/>
      <c r="D5" s="109" t="s">
        <v>66</v>
      </c>
      <c r="E5" s="109" t="s">
        <v>67</v>
      </c>
      <c r="F5" s="109" t="s">
        <v>68</v>
      </c>
      <c r="G5" s="109" t="s">
        <v>70</v>
      </c>
      <c r="H5" s="65" t="s">
        <v>66</v>
      </c>
      <c r="I5" s="65" t="s">
        <v>67</v>
      </c>
      <c r="J5" s="65" t="s">
        <v>68</v>
      </c>
      <c r="K5" s="65" t="s">
        <v>71</v>
      </c>
      <c r="L5" s="65" t="s">
        <v>66</v>
      </c>
      <c r="M5" s="65" t="s">
        <v>67</v>
      </c>
      <c r="N5" s="65" t="s">
        <v>68</v>
      </c>
      <c r="O5" s="65" t="s">
        <v>72</v>
      </c>
      <c r="R5" s="61"/>
      <c r="S5" s="61"/>
      <c r="V5" s="61"/>
      <c r="W5" s="61"/>
      <c r="X5" s="61"/>
      <c r="Y5" s="61"/>
      <c r="Z5" s="61"/>
      <c r="AC5" s="95"/>
      <c r="AD5" s="95"/>
      <c r="AE5" s="95"/>
      <c r="AF5" s="95"/>
      <c r="AG5" s="93"/>
      <c r="AH5" s="95"/>
    </row>
    <row r="6" spans="1:34" s="3" customFormat="1" ht="14.25" hidden="1" customHeight="1" x14ac:dyDescent="0.25">
      <c r="A6" s="53">
        <v>1</v>
      </c>
      <c r="B6" s="53">
        <v>2</v>
      </c>
      <c r="C6" s="53">
        <v>3</v>
      </c>
      <c r="D6" s="53">
        <v>4</v>
      </c>
      <c r="E6" s="53">
        <v>5</v>
      </c>
      <c r="F6" s="53">
        <v>6</v>
      </c>
      <c r="G6" s="53">
        <v>7</v>
      </c>
      <c r="H6" s="66">
        <v>8</v>
      </c>
      <c r="I6" s="66">
        <v>9</v>
      </c>
      <c r="J6" s="66">
        <v>10</v>
      </c>
      <c r="K6" s="66">
        <v>11</v>
      </c>
      <c r="L6" s="66">
        <v>12</v>
      </c>
      <c r="M6" s="66">
        <v>13</v>
      </c>
      <c r="N6" s="66">
        <v>14</v>
      </c>
      <c r="O6" s="66">
        <v>15</v>
      </c>
      <c r="R6" s="61"/>
      <c r="S6" s="61"/>
      <c r="V6" s="61"/>
      <c r="W6" s="61"/>
      <c r="X6" s="61"/>
      <c r="Y6" s="61"/>
      <c r="Z6" s="61"/>
      <c r="AC6" s="95"/>
      <c r="AD6" s="95"/>
      <c r="AE6" s="95"/>
      <c r="AF6" s="95"/>
      <c r="AG6" s="94"/>
      <c r="AH6" s="95"/>
    </row>
    <row r="7" spans="1:34" s="3" customFormat="1" ht="25.5" hidden="1" customHeight="1" x14ac:dyDescent="0.25">
      <c r="A7" s="53" t="s">
        <v>16</v>
      </c>
      <c r="B7" s="54" t="s">
        <v>15</v>
      </c>
      <c r="C7" s="55">
        <v>4314741</v>
      </c>
      <c r="D7" s="55">
        <v>127106</v>
      </c>
      <c r="E7" s="55">
        <v>546123</v>
      </c>
      <c r="F7" s="55">
        <v>0</v>
      </c>
      <c r="G7" s="55">
        <f>D7+E7+F7</f>
        <v>673229</v>
      </c>
      <c r="H7" s="63">
        <v>535957</v>
      </c>
      <c r="I7" s="63">
        <v>2302797</v>
      </c>
      <c r="J7" s="63">
        <v>0</v>
      </c>
      <c r="K7" s="63">
        <f>H7+I7+J7</f>
        <v>2838754</v>
      </c>
      <c r="L7" s="63">
        <v>151561</v>
      </c>
      <c r="M7" s="63">
        <v>651197</v>
      </c>
      <c r="N7" s="63">
        <v>0</v>
      </c>
      <c r="O7" s="63">
        <f>L7+M7+N7</f>
        <v>802758</v>
      </c>
      <c r="R7" s="62">
        <f>G7+K7+O7</f>
        <v>4314741</v>
      </c>
      <c r="S7" s="62"/>
      <c r="V7" s="61"/>
      <c r="W7" s="61"/>
      <c r="X7" s="61"/>
      <c r="Y7" s="61"/>
      <c r="Z7" s="61"/>
      <c r="AC7" s="95"/>
      <c r="AD7" s="95"/>
      <c r="AE7" s="95"/>
      <c r="AF7" s="95"/>
      <c r="AG7" s="94"/>
      <c r="AH7" s="95"/>
    </row>
    <row r="8" spans="1:34" ht="40.5" hidden="1" customHeight="1" x14ac:dyDescent="0.25">
      <c r="A8" s="56" t="s">
        <v>24</v>
      </c>
      <c r="B8" s="54" t="s">
        <v>14</v>
      </c>
      <c r="C8" s="55">
        <v>309054</v>
      </c>
      <c r="D8" s="55">
        <v>36325</v>
      </c>
      <c r="E8" s="55">
        <v>26859</v>
      </c>
      <c r="F8" s="55">
        <v>858</v>
      </c>
      <c r="G8" s="55">
        <f t="shared" ref="G8:G24" si="0">D8+E8+F8</f>
        <v>64042</v>
      </c>
      <c r="H8" s="63">
        <v>106752</v>
      </c>
      <c r="I8" s="63">
        <v>78934</v>
      </c>
      <c r="J8" s="63">
        <v>2522</v>
      </c>
      <c r="K8" s="63">
        <f t="shared" ref="K8:K24" si="1">H8+I8+J8</f>
        <v>188208</v>
      </c>
      <c r="L8" s="63">
        <v>32219</v>
      </c>
      <c r="M8" s="63">
        <v>23824</v>
      </c>
      <c r="N8" s="63">
        <v>761</v>
      </c>
      <c r="O8" s="63">
        <f t="shared" ref="O8:O24" si="2">L8+M8+N8</f>
        <v>56804</v>
      </c>
      <c r="R8" s="62">
        <f t="shared" ref="R8:R25" si="3">G8+K8+O8</f>
        <v>309054</v>
      </c>
      <c r="S8" s="62"/>
    </row>
    <row r="9" spans="1:34" ht="34.5" hidden="1" customHeight="1" x14ac:dyDescent="0.25">
      <c r="A9" s="56" t="s">
        <v>23</v>
      </c>
      <c r="B9" s="54" t="s">
        <v>13</v>
      </c>
      <c r="C9" s="55">
        <v>2295265</v>
      </c>
      <c r="D9" s="55">
        <v>0</v>
      </c>
      <c r="E9" s="55">
        <v>130096</v>
      </c>
      <c r="F9" s="55">
        <v>0</v>
      </c>
      <c r="G9" s="55">
        <f t="shared" si="0"/>
        <v>130096</v>
      </c>
      <c r="H9" s="63">
        <v>0</v>
      </c>
      <c r="I9" s="63">
        <v>1928367</v>
      </c>
      <c r="J9" s="63">
        <v>0</v>
      </c>
      <c r="K9" s="63">
        <f t="shared" si="1"/>
        <v>1928367</v>
      </c>
      <c r="L9" s="63">
        <v>0</v>
      </c>
      <c r="M9" s="63">
        <v>236802</v>
      </c>
      <c r="N9" s="63">
        <v>0</v>
      </c>
      <c r="O9" s="63">
        <f t="shared" si="2"/>
        <v>236802</v>
      </c>
      <c r="R9" s="62">
        <f t="shared" si="3"/>
        <v>2295265</v>
      </c>
      <c r="S9" s="62"/>
    </row>
    <row r="10" spans="1:34" ht="40.5" hidden="1" customHeight="1" x14ac:dyDescent="0.25">
      <c r="A10" s="56" t="s">
        <v>22</v>
      </c>
      <c r="B10" s="54" t="s">
        <v>12</v>
      </c>
      <c r="C10" s="55">
        <v>168181</v>
      </c>
      <c r="D10" s="55">
        <v>19346</v>
      </c>
      <c r="E10" s="55">
        <v>0</v>
      </c>
      <c r="F10" s="55">
        <v>0</v>
      </c>
      <c r="G10" s="55">
        <f t="shared" si="0"/>
        <v>19346</v>
      </c>
      <c r="H10" s="63">
        <v>125819</v>
      </c>
      <c r="I10" s="63">
        <v>0</v>
      </c>
      <c r="J10" s="63">
        <v>0</v>
      </c>
      <c r="K10" s="63">
        <f t="shared" si="1"/>
        <v>125819</v>
      </c>
      <c r="L10" s="63">
        <v>23016</v>
      </c>
      <c r="M10" s="63">
        <v>0</v>
      </c>
      <c r="N10" s="63">
        <v>0</v>
      </c>
      <c r="O10" s="63">
        <f t="shared" si="2"/>
        <v>23016</v>
      </c>
      <c r="R10" s="62">
        <f t="shared" si="3"/>
        <v>168181</v>
      </c>
      <c r="S10" s="62"/>
    </row>
    <row r="11" spans="1:34" ht="39.75" hidden="1" customHeight="1" x14ac:dyDescent="0.25">
      <c r="A11" s="56" t="s">
        <v>21</v>
      </c>
      <c r="B11" s="54" t="s">
        <v>11</v>
      </c>
      <c r="C11" s="55">
        <v>180277</v>
      </c>
      <c r="D11" s="55">
        <v>7025</v>
      </c>
      <c r="E11" s="55">
        <v>11176</v>
      </c>
      <c r="F11" s="55">
        <v>4847</v>
      </c>
      <c r="G11" s="55">
        <f t="shared" si="0"/>
        <v>23048</v>
      </c>
      <c r="H11" s="63">
        <v>37267</v>
      </c>
      <c r="I11" s="63">
        <v>59287</v>
      </c>
      <c r="J11" s="63">
        <v>25712</v>
      </c>
      <c r="K11" s="63">
        <f t="shared" si="1"/>
        <v>122266</v>
      </c>
      <c r="L11" s="63">
        <v>10657</v>
      </c>
      <c r="M11" s="63">
        <v>16953</v>
      </c>
      <c r="N11" s="63">
        <v>7353</v>
      </c>
      <c r="O11" s="63">
        <f t="shared" si="2"/>
        <v>34963</v>
      </c>
      <c r="R11" s="62">
        <f t="shared" si="3"/>
        <v>180277</v>
      </c>
      <c r="S11" s="62"/>
    </row>
    <row r="12" spans="1:34" ht="28.5" hidden="1" customHeight="1" x14ac:dyDescent="0.25">
      <c r="A12" s="56" t="s">
        <v>20</v>
      </c>
      <c r="B12" s="54" t="s">
        <v>34</v>
      </c>
      <c r="C12" s="55">
        <v>336047</v>
      </c>
      <c r="D12" s="55">
        <v>62901</v>
      </c>
      <c r="E12" s="55">
        <v>0</v>
      </c>
      <c r="F12" s="55">
        <v>0</v>
      </c>
      <c r="G12" s="55">
        <f t="shared" si="0"/>
        <v>62901</v>
      </c>
      <c r="H12" s="63">
        <v>205315</v>
      </c>
      <c r="I12" s="63">
        <v>0</v>
      </c>
      <c r="J12" s="63">
        <v>0</v>
      </c>
      <c r="K12" s="63">
        <f t="shared" si="1"/>
        <v>205315</v>
      </c>
      <c r="L12" s="63">
        <v>67831</v>
      </c>
      <c r="M12" s="63">
        <v>0</v>
      </c>
      <c r="N12" s="63">
        <v>0</v>
      </c>
      <c r="O12" s="63">
        <f t="shared" si="2"/>
        <v>67831</v>
      </c>
      <c r="R12" s="62">
        <f t="shared" si="3"/>
        <v>336047</v>
      </c>
      <c r="S12" s="62"/>
    </row>
    <row r="13" spans="1:34" ht="34.5" hidden="1" customHeight="1" x14ac:dyDescent="0.25">
      <c r="A13" s="56" t="s">
        <v>19</v>
      </c>
      <c r="B13" s="54" t="s">
        <v>10</v>
      </c>
      <c r="C13" s="55">
        <v>1356259</v>
      </c>
      <c r="D13" s="55">
        <v>29466</v>
      </c>
      <c r="E13" s="55">
        <v>38540</v>
      </c>
      <c r="F13" s="55">
        <v>1801</v>
      </c>
      <c r="G13" s="55">
        <f t="shared" si="0"/>
        <v>69807</v>
      </c>
      <c r="H13" s="63">
        <v>458279</v>
      </c>
      <c r="I13" s="63">
        <v>599422</v>
      </c>
      <c r="J13" s="63">
        <v>28011</v>
      </c>
      <c r="K13" s="63">
        <f t="shared" si="1"/>
        <v>1085712</v>
      </c>
      <c r="L13" s="63">
        <v>84732</v>
      </c>
      <c r="M13" s="63">
        <v>110829</v>
      </c>
      <c r="N13" s="63">
        <v>5179</v>
      </c>
      <c r="O13" s="63">
        <f t="shared" si="2"/>
        <v>200740</v>
      </c>
      <c r="R13" s="62">
        <f t="shared" si="3"/>
        <v>1356259</v>
      </c>
      <c r="S13" s="62"/>
    </row>
    <row r="14" spans="1:34" ht="25.5" hidden="1" customHeight="1" x14ac:dyDescent="0.25">
      <c r="A14" s="56" t="s">
        <v>18</v>
      </c>
      <c r="B14" s="54" t="s">
        <v>9</v>
      </c>
      <c r="C14" s="55">
        <v>1037979</v>
      </c>
      <c r="D14" s="55">
        <v>93103</v>
      </c>
      <c r="E14" s="55">
        <v>153230</v>
      </c>
      <c r="F14" s="55">
        <v>3675</v>
      </c>
      <c r="G14" s="55">
        <f t="shared" si="0"/>
        <v>250008</v>
      </c>
      <c r="H14" s="63">
        <v>290912</v>
      </c>
      <c r="I14" s="63">
        <v>478787</v>
      </c>
      <c r="J14" s="63">
        <v>11483</v>
      </c>
      <c r="K14" s="63">
        <f t="shared" si="1"/>
        <v>781182</v>
      </c>
      <c r="L14" s="63">
        <v>2528</v>
      </c>
      <c r="M14" s="63">
        <v>4161</v>
      </c>
      <c r="N14" s="63">
        <v>100</v>
      </c>
      <c r="O14" s="63">
        <f t="shared" si="2"/>
        <v>6789</v>
      </c>
      <c r="R14" s="62">
        <f t="shared" si="3"/>
        <v>1037979</v>
      </c>
      <c r="S14" s="62"/>
    </row>
    <row r="15" spans="1:34" ht="25.5" hidden="1" customHeight="1" x14ac:dyDescent="0.25">
      <c r="A15" s="56" t="s">
        <v>25</v>
      </c>
      <c r="B15" s="54" t="s">
        <v>8</v>
      </c>
      <c r="C15" s="55">
        <v>1719749</v>
      </c>
      <c r="D15" s="55">
        <v>12886</v>
      </c>
      <c r="E15" s="55">
        <v>55044</v>
      </c>
      <c r="F15" s="55">
        <v>0</v>
      </c>
      <c r="G15" s="55">
        <f t="shared" si="0"/>
        <v>67930</v>
      </c>
      <c r="H15" s="63">
        <v>209144</v>
      </c>
      <c r="I15" s="63">
        <v>893353</v>
      </c>
      <c r="J15" s="63">
        <v>0</v>
      </c>
      <c r="K15" s="63">
        <f t="shared" si="1"/>
        <v>1102497</v>
      </c>
      <c r="L15" s="63">
        <v>104206</v>
      </c>
      <c r="M15" s="63">
        <v>445116</v>
      </c>
      <c r="N15" s="63">
        <v>0</v>
      </c>
      <c r="O15" s="63">
        <f t="shared" si="2"/>
        <v>549322</v>
      </c>
      <c r="R15" s="62">
        <f t="shared" si="3"/>
        <v>1719749</v>
      </c>
      <c r="S15" s="62"/>
    </row>
    <row r="16" spans="1:34" ht="25.5" hidden="1" customHeight="1" x14ac:dyDescent="0.25">
      <c r="A16" s="56" t="s">
        <v>26</v>
      </c>
      <c r="B16" s="54" t="s">
        <v>7</v>
      </c>
      <c r="C16" s="55">
        <v>1042162</v>
      </c>
      <c r="D16" s="55">
        <v>2275</v>
      </c>
      <c r="E16" s="55">
        <v>16765</v>
      </c>
      <c r="F16" s="55">
        <v>0</v>
      </c>
      <c r="G16" s="55">
        <f t="shared" si="0"/>
        <v>19040</v>
      </c>
      <c r="H16" s="63">
        <v>111161</v>
      </c>
      <c r="I16" s="63">
        <v>819052</v>
      </c>
      <c r="J16" s="63">
        <v>0</v>
      </c>
      <c r="K16" s="63">
        <f t="shared" si="1"/>
        <v>930213</v>
      </c>
      <c r="L16" s="63">
        <v>11103</v>
      </c>
      <c r="M16" s="63">
        <v>81806</v>
      </c>
      <c r="N16" s="63">
        <v>0</v>
      </c>
      <c r="O16" s="63">
        <f t="shared" si="2"/>
        <v>92909</v>
      </c>
      <c r="R16" s="62">
        <f t="shared" si="3"/>
        <v>1042162</v>
      </c>
      <c r="S16" s="62"/>
    </row>
    <row r="17" spans="1:34" ht="25.5" hidden="1" customHeight="1" x14ac:dyDescent="0.25">
      <c r="A17" s="56" t="s">
        <v>27</v>
      </c>
      <c r="B17" s="54" t="s">
        <v>6</v>
      </c>
      <c r="C17" s="55">
        <v>839591</v>
      </c>
      <c r="D17" s="55">
        <v>3517</v>
      </c>
      <c r="E17" s="55">
        <v>2240</v>
      </c>
      <c r="F17" s="55">
        <v>94</v>
      </c>
      <c r="G17" s="55">
        <f t="shared" si="0"/>
        <v>5851</v>
      </c>
      <c r="H17" s="63">
        <v>500321</v>
      </c>
      <c r="I17" s="63">
        <v>318757</v>
      </c>
      <c r="J17" s="63">
        <v>13403</v>
      </c>
      <c r="K17" s="63">
        <f t="shared" si="1"/>
        <v>832481</v>
      </c>
      <c r="L17" s="63">
        <v>757</v>
      </c>
      <c r="M17" s="63">
        <v>482</v>
      </c>
      <c r="N17" s="63">
        <v>20</v>
      </c>
      <c r="O17" s="63">
        <f t="shared" si="2"/>
        <v>1259</v>
      </c>
      <c r="R17" s="62">
        <f t="shared" si="3"/>
        <v>839591</v>
      </c>
      <c r="S17" s="62"/>
    </row>
    <row r="18" spans="1:34" ht="25.5" hidden="1" customHeight="1" x14ac:dyDescent="0.25">
      <c r="A18" s="56" t="s">
        <v>28</v>
      </c>
      <c r="B18" s="54" t="s">
        <v>5</v>
      </c>
      <c r="C18" s="55">
        <v>728498</v>
      </c>
      <c r="D18" s="55">
        <v>20924</v>
      </c>
      <c r="E18" s="55">
        <v>74986</v>
      </c>
      <c r="F18" s="55">
        <v>4878</v>
      </c>
      <c r="G18" s="55">
        <f t="shared" si="0"/>
        <v>100788</v>
      </c>
      <c r="H18" s="63">
        <v>129044</v>
      </c>
      <c r="I18" s="63">
        <v>462469</v>
      </c>
      <c r="J18" s="63">
        <v>30085</v>
      </c>
      <c r="K18" s="63">
        <f t="shared" si="1"/>
        <v>621598</v>
      </c>
      <c r="L18" s="63">
        <v>1269</v>
      </c>
      <c r="M18" s="63">
        <v>4547</v>
      </c>
      <c r="N18" s="63">
        <v>296</v>
      </c>
      <c r="O18" s="63">
        <f t="shared" si="2"/>
        <v>6112</v>
      </c>
      <c r="R18" s="62">
        <f t="shared" si="3"/>
        <v>728498</v>
      </c>
      <c r="S18" s="62"/>
    </row>
    <row r="19" spans="1:34" ht="25.5" hidden="1" customHeight="1" x14ac:dyDescent="0.25">
      <c r="A19" s="56" t="s">
        <v>29</v>
      </c>
      <c r="B19" s="54" t="s">
        <v>4</v>
      </c>
      <c r="C19" s="55">
        <v>711822</v>
      </c>
      <c r="D19" s="55">
        <v>13803</v>
      </c>
      <c r="E19" s="55">
        <v>23257</v>
      </c>
      <c r="F19" s="55">
        <v>966</v>
      </c>
      <c r="G19" s="55">
        <f t="shared" si="0"/>
        <v>38026</v>
      </c>
      <c r="H19" s="63">
        <v>236508</v>
      </c>
      <c r="I19" s="63">
        <v>398480</v>
      </c>
      <c r="J19" s="63">
        <v>16549</v>
      </c>
      <c r="K19" s="63">
        <f t="shared" si="1"/>
        <v>651537</v>
      </c>
      <c r="L19" s="63">
        <v>8080</v>
      </c>
      <c r="M19" s="63">
        <v>13613</v>
      </c>
      <c r="N19" s="63">
        <v>566</v>
      </c>
      <c r="O19" s="63">
        <f t="shared" si="2"/>
        <v>22259</v>
      </c>
      <c r="R19" s="62">
        <f t="shared" si="3"/>
        <v>711822</v>
      </c>
      <c r="S19" s="62"/>
    </row>
    <row r="20" spans="1:34" ht="25.5" hidden="1" customHeight="1" x14ac:dyDescent="0.25">
      <c r="A20" s="56">
        <v>14</v>
      </c>
      <c r="B20" s="54" t="s">
        <v>3</v>
      </c>
      <c r="C20" s="55">
        <v>913731</v>
      </c>
      <c r="D20" s="55">
        <v>43796</v>
      </c>
      <c r="E20" s="55">
        <v>21561</v>
      </c>
      <c r="F20" s="55">
        <v>2022</v>
      </c>
      <c r="G20" s="55">
        <f t="shared" si="0"/>
        <v>67379</v>
      </c>
      <c r="H20" s="63">
        <v>489335</v>
      </c>
      <c r="I20" s="63">
        <v>240903</v>
      </c>
      <c r="J20" s="63">
        <v>22585</v>
      </c>
      <c r="K20" s="63">
        <f t="shared" si="1"/>
        <v>752823</v>
      </c>
      <c r="L20" s="63">
        <v>60794</v>
      </c>
      <c r="M20" s="63">
        <v>29929</v>
      </c>
      <c r="N20" s="63">
        <v>2806</v>
      </c>
      <c r="O20" s="63">
        <f t="shared" si="2"/>
        <v>93529</v>
      </c>
      <c r="R20" s="62">
        <f t="shared" si="3"/>
        <v>913731</v>
      </c>
      <c r="S20" s="62"/>
    </row>
    <row r="21" spans="1:34" ht="54" hidden="1" customHeight="1" x14ac:dyDescent="0.25">
      <c r="A21" s="56" t="s">
        <v>30</v>
      </c>
      <c r="B21" s="54" t="s">
        <v>2</v>
      </c>
      <c r="C21" s="55">
        <v>122863</v>
      </c>
      <c r="D21" s="55">
        <v>3479</v>
      </c>
      <c r="E21" s="55">
        <v>0</v>
      </c>
      <c r="F21" s="55">
        <v>0</v>
      </c>
      <c r="G21" s="55">
        <f t="shared" si="0"/>
        <v>3479</v>
      </c>
      <c r="H21" s="63">
        <v>102858</v>
      </c>
      <c r="I21" s="63">
        <v>0</v>
      </c>
      <c r="J21" s="63">
        <v>0</v>
      </c>
      <c r="K21" s="63">
        <f t="shared" si="1"/>
        <v>102858</v>
      </c>
      <c r="L21" s="63">
        <v>16526</v>
      </c>
      <c r="M21" s="63">
        <v>0</v>
      </c>
      <c r="N21" s="63">
        <v>0</v>
      </c>
      <c r="O21" s="63">
        <f t="shared" si="2"/>
        <v>16526</v>
      </c>
      <c r="R21" s="62">
        <f t="shared" si="3"/>
        <v>122863</v>
      </c>
      <c r="S21" s="62"/>
    </row>
    <row r="22" spans="1:34" ht="39.75" hidden="1" customHeight="1" x14ac:dyDescent="0.25">
      <c r="A22" s="56" t="s">
        <v>31</v>
      </c>
      <c r="B22" s="54" t="s">
        <v>1</v>
      </c>
      <c r="C22" s="55">
        <v>98753</v>
      </c>
      <c r="D22" s="55">
        <v>7345</v>
      </c>
      <c r="E22" s="55">
        <v>0</v>
      </c>
      <c r="F22" s="55">
        <v>0</v>
      </c>
      <c r="G22" s="55">
        <f t="shared" si="0"/>
        <v>7345</v>
      </c>
      <c r="H22" s="63">
        <v>87424</v>
      </c>
      <c r="I22" s="63">
        <v>0</v>
      </c>
      <c r="J22" s="63">
        <v>0</v>
      </c>
      <c r="K22" s="63">
        <f t="shared" si="1"/>
        <v>87424</v>
      </c>
      <c r="L22" s="63">
        <v>3984</v>
      </c>
      <c r="M22" s="63">
        <v>0</v>
      </c>
      <c r="N22" s="63">
        <v>0</v>
      </c>
      <c r="O22" s="63">
        <f t="shared" si="2"/>
        <v>3984</v>
      </c>
      <c r="R22" s="62">
        <f t="shared" si="3"/>
        <v>98753</v>
      </c>
      <c r="S22" s="62"/>
    </row>
    <row r="23" spans="1:34" ht="33" hidden="1" customHeight="1" x14ac:dyDescent="0.25">
      <c r="A23" s="56" t="s">
        <v>32</v>
      </c>
      <c r="B23" s="54" t="s">
        <v>73</v>
      </c>
      <c r="C23" s="55">
        <v>41245</v>
      </c>
      <c r="D23" s="55">
        <v>8112</v>
      </c>
      <c r="E23" s="55">
        <v>0</v>
      </c>
      <c r="F23" s="55">
        <v>0</v>
      </c>
      <c r="G23" s="55">
        <f t="shared" si="0"/>
        <v>8112</v>
      </c>
      <c r="H23" s="63">
        <v>26556</v>
      </c>
      <c r="I23" s="63">
        <v>0</v>
      </c>
      <c r="J23" s="63">
        <v>0</v>
      </c>
      <c r="K23" s="63">
        <f t="shared" si="1"/>
        <v>26556</v>
      </c>
      <c r="L23" s="63">
        <v>6577</v>
      </c>
      <c r="M23" s="63">
        <v>0</v>
      </c>
      <c r="N23" s="63">
        <v>0</v>
      </c>
      <c r="O23" s="63">
        <f t="shared" si="2"/>
        <v>6577</v>
      </c>
      <c r="R23" s="62">
        <f t="shared" si="3"/>
        <v>41245</v>
      </c>
      <c r="S23" s="62"/>
    </row>
    <row r="24" spans="1:34" ht="33" hidden="1" customHeight="1" x14ac:dyDescent="0.25">
      <c r="A24" s="56" t="s">
        <v>90</v>
      </c>
      <c r="B24" s="70" t="s">
        <v>91</v>
      </c>
      <c r="C24" s="55">
        <f>E24+I24+M24</f>
        <v>0</v>
      </c>
      <c r="D24" s="55">
        <v>0</v>
      </c>
      <c r="E24" s="55">
        <v>0</v>
      </c>
      <c r="F24" s="55">
        <v>0</v>
      </c>
      <c r="G24" s="55">
        <f t="shared" si="0"/>
        <v>0</v>
      </c>
      <c r="H24" s="63">
        <v>0</v>
      </c>
      <c r="I24" s="63">
        <v>0</v>
      </c>
      <c r="J24" s="63">
        <v>0</v>
      </c>
      <c r="K24" s="63">
        <f t="shared" si="1"/>
        <v>0</v>
      </c>
      <c r="L24" s="63">
        <v>0</v>
      </c>
      <c r="M24" s="63">
        <v>0</v>
      </c>
      <c r="N24" s="63">
        <v>0</v>
      </c>
      <c r="O24" s="63">
        <f t="shared" si="2"/>
        <v>0</v>
      </c>
      <c r="R24" s="62">
        <f t="shared" si="3"/>
        <v>0</v>
      </c>
      <c r="S24" s="62"/>
    </row>
    <row r="25" spans="1:34" ht="25.5" hidden="1" customHeight="1" x14ac:dyDescent="0.25">
      <c r="A25" s="57"/>
      <c r="B25" s="57" t="s">
        <v>0</v>
      </c>
      <c r="C25" s="58">
        <f>SUM(C7:C24)</f>
        <v>16216217</v>
      </c>
      <c r="D25" s="58">
        <f t="shared" ref="D25:O25" si="4">SUM(D7:D24)</f>
        <v>491409</v>
      </c>
      <c r="E25" s="58">
        <f t="shared" si="4"/>
        <v>1099877</v>
      </c>
      <c r="F25" s="58">
        <f t="shared" si="4"/>
        <v>19141</v>
      </c>
      <c r="G25" s="58">
        <f t="shared" si="4"/>
        <v>1610427</v>
      </c>
      <c r="H25" s="58">
        <f t="shared" si="4"/>
        <v>3652652</v>
      </c>
      <c r="I25" s="58">
        <f t="shared" si="4"/>
        <v>8580608</v>
      </c>
      <c r="J25" s="58">
        <f t="shared" si="4"/>
        <v>150350</v>
      </c>
      <c r="K25" s="58">
        <f t="shared" si="4"/>
        <v>12383610</v>
      </c>
      <c r="L25" s="58">
        <f t="shared" si="4"/>
        <v>585840</v>
      </c>
      <c r="M25" s="58">
        <f t="shared" si="4"/>
        <v>1619259</v>
      </c>
      <c r="N25" s="58">
        <f t="shared" si="4"/>
        <v>17081</v>
      </c>
      <c r="O25" s="58">
        <f t="shared" si="4"/>
        <v>2222180</v>
      </c>
      <c r="R25" s="62">
        <f t="shared" si="3"/>
        <v>16216217</v>
      </c>
      <c r="S25" s="62"/>
    </row>
    <row r="26" spans="1:34" hidden="1" x14ac:dyDescent="0.25"/>
    <row r="27" spans="1:34" hidden="1" x14ac:dyDescent="0.25"/>
    <row r="28" spans="1:34" s="4" customFormat="1" ht="28.5" hidden="1" customHeight="1" x14ac:dyDescent="0.25">
      <c r="A28" s="152" t="s">
        <v>17</v>
      </c>
      <c r="B28" s="152" t="s">
        <v>33</v>
      </c>
      <c r="C28" s="152" t="s">
        <v>74</v>
      </c>
      <c r="D28" s="152" t="s">
        <v>69</v>
      </c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R28" s="61"/>
      <c r="S28" s="61"/>
      <c r="V28" s="61"/>
      <c r="W28" s="61"/>
      <c r="X28" s="61"/>
      <c r="Y28" s="61"/>
      <c r="Z28" s="61"/>
      <c r="AC28" s="95"/>
      <c r="AD28" s="95"/>
      <c r="AE28" s="95"/>
      <c r="AF28" s="95"/>
      <c r="AG28" s="93"/>
      <c r="AH28" s="95"/>
    </row>
    <row r="29" spans="1:34" s="4" customFormat="1" ht="41.25" hidden="1" customHeight="1" x14ac:dyDescent="0.25">
      <c r="A29" s="152"/>
      <c r="B29" s="152"/>
      <c r="C29" s="152"/>
      <c r="D29" s="154" t="s">
        <v>36</v>
      </c>
      <c r="E29" s="154"/>
      <c r="F29" s="154"/>
      <c r="G29" s="154"/>
      <c r="H29" s="155" t="s">
        <v>37</v>
      </c>
      <c r="I29" s="156"/>
      <c r="J29" s="156"/>
      <c r="K29" s="157"/>
      <c r="L29" s="155" t="s">
        <v>38</v>
      </c>
      <c r="M29" s="156"/>
      <c r="N29" s="156"/>
      <c r="O29" s="157"/>
      <c r="R29" s="61"/>
      <c r="S29" s="61"/>
      <c r="V29" s="61"/>
      <c r="W29" s="61"/>
      <c r="X29" s="61"/>
      <c r="Y29" s="61"/>
      <c r="Z29" s="61"/>
      <c r="AC29" s="95"/>
      <c r="AD29" s="95"/>
      <c r="AE29" s="95"/>
      <c r="AF29" s="95"/>
      <c r="AG29" s="93"/>
      <c r="AH29" s="95"/>
    </row>
    <row r="30" spans="1:34" s="4" customFormat="1" ht="59.25" hidden="1" customHeight="1" x14ac:dyDescent="0.25">
      <c r="A30" s="152"/>
      <c r="B30" s="152"/>
      <c r="C30" s="152"/>
      <c r="D30" s="109" t="s">
        <v>66</v>
      </c>
      <c r="E30" s="109" t="s">
        <v>67</v>
      </c>
      <c r="F30" s="109" t="s">
        <v>68</v>
      </c>
      <c r="G30" s="109" t="s">
        <v>70</v>
      </c>
      <c r="H30" s="65" t="s">
        <v>66</v>
      </c>
      <c r="I30" s="65" t="s">
        <v>67</v>
      </c>
      <c r="J30" s="65" t="s">
        <v>68</v>
      </c>
      <c r="K30" s="65" t="s">
        <v>71</v>
      </c>
      <c r="L30" s="65" t="s">
        <v>66</v>
      </c>
      <c r="M30" s="65" t="s">
        <v>67</v>
      </c>
      <c r="N30" s="65" t="s">
        <v>68</v>
      </c>
      <c r="O30" s="65" t="s">
        <v>72</v>
      </c>
      <c r="R30" s="61"/>
      <c r="S30" s="61"/>
      <c r="V30" s="61"/>
      <c r="W30" s="61"/>
      <c r="X30" s="61"/>
      <c r="Y30" s="61"/>
      <c r="Z30" s="61"/>
      <c r="AC30" s="95"/>
      <c r="AD30" s="95"/>
      <c r="AE30" s="95"/>
      <c r="AF30" s="95"/>
      <c r="AG30" s="93"/>
      <c r="AH30" s="95"/>
    </row>
    <row r="31" spans="1:34" s="3" customFormat="1" ht="14.25" hidden="1" customHeight="1" x14ac:dyDescent="0.25">
      <c r="A31" s="53">
        <v>1</v>
      </c>
      <c r="B31" s="53">
        <v>2</v>
      </c>
      <c r="C31" s="53">
        <v>3</v>
      </c>
      <c r="D31" s="53">
        <v>4</v>
      </c>
      <c r="E31" s="53">
        <v>5</v>
      </c>
      <c r="F31" s="53">
        <v>6</v>
      </c>
      <c r="G31" s="53">
        <v>7</v>
      </c>
      <c r="H31" s="66">
        <v>8</v>
      </c>
      <c r="I31" s="66">
        <v>9</v>
      </c>
      <c r="J31" s="66">
        <v>10</v>
      </c>
      <c r="K31" s="66">
        <v>11</v>
      </c>
      <c r="L31" s="66">
        <v>12</v>
      </c>
      <c r="M31" s="66">
        <v>13</v>
      </c>
      <c r="N31" s="66">
        <v>14</v>
      </c>
      <c r="O31" s="66">
        <v>15</v>
      </c>
      <c r="R31" s="61"/>
      <c r="S31" s="61"/>
      <c r="V31" s="61"/>
      <c r="W31" s="61"/>
      <c r="X31" s="61"/>
      <c r="Y31" s="61"/>
      <c r="Z31" s="61"/>
      <c r="AC31" s="95"/>
      <c r="AD31" s="95"/>
      <c r="AE31" s="95"/>
      <c r="AF31" s="95"/>
      <c r="AG31" s="94"/>
      <c r="AH31" s="95"/>
    </row>
    <row r="32" spans="1:34" s="3" customFormat="1" ht="25.5" hidden="1" customHeight="1" x14ac:dyDescent="0.25">
      <c r="A32" s="53" t="s">
        <v>16</v>
      </c>
      <c r="B32" s="54" t="s">
        <v>15</v>
      </c>
      <c r="C32" s="55">
        <v>4371020</v>
      </c>
      <c r="D32" s="55">
        <v>125694</v>
      </c>
      <c r="E32" s="55">
        <v>556316</v>
      </c>
      <c r="F32" s="55">
        <v>0</v>
      </c>
      <c r="G32" s="55">
        <f>D32+E32+F32</f>
        <v>682010</v>
      </c>
      <c r="H32" s="63">
        <v>530007</v>
      </c>
      <c r="I32" s="63">
        <v>2345775</v>
      </c>
      <c r="J32" s="63">
        <v>0</v>
      </c>
      <c r="K32" s="63">
        <f>H32+I32+J32</f>
        <v>2875782</v>
      </c>
      <c r="L32" s="63">
        <v>149878</v>
      </c>
      <c r="M32" s="63">
        <v>663350</v>
      </c>
      <c r="N32" s="63">
        <v>0</v>
      </c>
      <c r="O32" s="63">
        <f>L32+M32+N32</f>
        <v>813228</v>
      </c>
      <c r="R32" s="62">
        <f>G32+K32+O32</f>
        <v>4371020</v>
      </c>
      <c r="S32" s="62"/>
      <c r="V32" s="61"/>
      <c r="W32" s="61"/>
      <c r="X32" s="61"/>
      <c r="Y32" s="61"/>
      <c r="Z32" s="61"/>
      <c r="AC32" s="95"/>
      <c r="AD32" s="95"/>
      <c r="AE32" s="95"/>
      <c r="AF32" s="95"/>
      <c r="AG32" s="94"/>
      <c r="AH32" s="95"/>
    </row>
    <row r="33" spans="1:19" customFormat="1" ht="30" hidden="1" x14ac:dyDescent="0.25">
      <c r="A33" s="56" t="s">
        <v>24</v>
      </c>
      <c r="B33" s="54" t="s">
        <v>14</v>
      </c>
      <c r="C33" s="55">
        <v>304215</v>
      </c>
      <c r="D33" s="55">
        <v>35315</v>
      </c>
      <c r="E33" s="55">
        <v>26868</v>
      </c>
      <c r="F33" s="55">
        <v>857</v>
      </c>
      <c r="G33" s="55">
        <f t="shared" ref="G33:G49" si="5">D33+E33+F33</f>
        <v>63040</v>
      </c>
      <c r="H33" s="63">
        <v>103783</v>
      </c>
      <c r="I33" s="63">
        <v>78958</v>
      </c>
      <c r="J33" s="63">
        <v>2519</v>
      </c>
      <c r="K33" s="63">
        <f t="shared" ref="K33:K49" si="6">H33+I33+J33</f>
        <v>185260</v>
      </c>
      <c r="L33" s="63">
        <v>31324</v>
      </c>
      <c r="M33" s="63">
        <v>23831</v>
      </c>
      <c r="N33" s="63">
        <v>760</v>
      </c>
      <c r="O33" s="63">
        <f t="shared" ref="O33:O49" si="7">L33+M33+N33</f>
        <v>55915</v>
      </c>
      <c r="R33" s="62">
        <f t="shared" ref="R33:R50" si="8">G33+K33+O33</f>
        <v>304215</v>
      </c>
      <c r="S33" s="62"/>
    </row>
    <row r="34" spans="1:19" customFormat="1" ht="30" hidden="1" x14ac:dyDescent="0.25">
      <c r="A34" s="56" t="s">
        <v>23</v>
      </c>
      <c r="B34" s="54" t="s">
        <v>13</v>
      </c>
      <c r="C34" s="55">
        <v>1781894</v>
      </c>
      <c r="D34" s="55">
        <v>0</v>
      </c>
      <c r="E34" s="55">
        <v>100998</v>
      </c>
      <c r="F34" s="55">
        <v>0</v>
      </c>
      <c r="G34" s="55">
        <f t="shared" si="5"/>
        <v>100998</v>
      </c>
      <c r="H34" s="63">
        <v>0</v>
      </c>
      <c r="I34" s="63">
        <v>1497058</v>
      </c>
      <c r="J34" s="63">
        <v>0</v>
      </c>
      <c r="K34" s="63">
        <f t="shared" si="6"/>
        <v>1497058</v>
      </c>
      <c r="L34" s="63">
        <v>0</v>
      </c>
      <c r="M34" s="63">
        <v>183838</v>
      </c>
      <c r="N34" s="63">
        <v>0</v>
      </c>
      <c r="O34" s="63">
        <f t="shared" si="7"/>
        <v>183838</v>
      </c>
      <c r="R34" s="62">
        <f t="shared" si="8"/>
        <v>1781894</v>
      </c>
      <c r="S34" s="62"/>
    </row>
    <row r="35" spans="1:19" customFormat="1" ht="30" hidden="1" x14ac:dyDescent="0.25">
      <c r="A35" s="56" t="s">
        <v>22</v>
      </c>
      <c r="B35" s="54" t="s">
        <v>12</v>
      </c>
      <c r="C35" s="55">
        <v>176179</v>
      </c>
      <c r="D35" s="55">
        <v>20266</v>
      </c>
      <c r="E35" s="55">
        <v>0</v>
      </c>
      <c r="F35" s="55">
        <v>0</v>
      </c>
      <c r="G35" s="55">
        <f t="shared" si="5"/>
        <v>20266</v>
      </c>
      <c r="H35" s="63">
        <v>131803</v>
      </c>
      <c r="I35" s="63">
        <v>0</v>
      </c>
      <c r="J35" s="63">
        <v>0</v>
      </c>
      <c r="K35" s="63">
        <f t="shared" si="6"/>
        <v>131803</v>
      </c>
      <c r="L35" s="63">
        <v>24110</v>
      </c>
      <c r="M35" s="63">
        <v>0</v>
      </c>
      <c r="N35" s="63">
        <v>0</v>
      </c>
      <c r="O35" s="63">
        <f t="shared" si="7"/>
        <v>24110</v>
      </c>
      <c r="R35" s="62">
        <f t="shared" si="8"/>
        <v>176179</v>
      </c>
      <c r="S35" s="62"/>
    </row>
    <row r="36" spans="1:19" customFormat="1" ht="30" hidden="1" x14ac:dyDescent="0.25">
      <c r="A36" s="56" t="s">
        <v>21</v>
      </c>
      <c r="B36" s="54" t="s">
        <v>11</v>
      </c>
      <c r="C36" s="55">
        <v>163620</v>
      </c>
      <c r="D36" s="55">
        <v>6380</v>
      </c>
      <c r="E36" s="55">
        <v>10144</v>
      </c>
      <c r="F36" s="55">
        <v>4395</v>
      </c>
      <c r="G36" s="55">
        <f t="shared" si="5"/>
        <v>20919</v>
      </c>
      <c r="H36" s="63">
        <v>33845</v>
      </c>
      <c r="I36" s="63">
        <v>53809</v>
      </c>
      <c r="J36" s="63">
        <v>23315</v>
      </c>
      <c r="K36" s="63">
        <f t="shared" si="6"/>
        <v>110969</v>
      </c>
      <c r="L36" s="63">
        <v>9678</v>
      </c>
      <c r="M36" s="63">
        <v>15387</v>
      </c>
      <c r="N36" s="63">
        <v>6667</v>
      </c>
      <c r="O36" s="63">
        <f t="shared" si="7"/>
        <v>31732</v>
      </c>
      <c r="R36" s="62">
        <f t="shared" si="8"/>
        <v>163620</v>
      </c>
      <c r="S36" s="62"/>
    </row>
    <row r="37" spans="1:19" customFormat="1" hidden="1" x14ac:dyDescent="0.25">
      <c r="A37" s="56" t="s">
        <v>20</v>
      </c>
      <c r="B37" s="54" t="s">
        <v>34</v>
      </c>
      <c r="C37" s="55">
        <v>312044</v>
      </c>
      <c r="D37" s="55">
        <v>58408</v>
      </c>
      <c r="E37" s="55">
        <v>0</v>
      </c>
      <c r="F37" s="55">
        <v>0</v>
      </c>
      <c r="G37" s="55">
        <f t="shared" si="5"/>
        <v>58408</v>
      </c>
      <c r="H37" s="63">
        <v>190650</v>
      </c>
      <c r="I37" s="63">
        <v>0</v>
      </c>
      <c r="J37" s="63">
        <v>0</v>
      </c>
      <c r="K37" s="63">
        <f t="shared" si="6"/>
        <v>190650</v>
      </c>
      <c r="L37" s="63">
        <v>62986</v>
      </c>
      <c r="M37" s="63">
        <v>0</v>
      </c>
      <c r="N37" s="63">
        <v>0</v>
      </c>
      <c r="O37" s="63">
        <f t="shared" si="7"/>
        <v>62986</v>
      </c>
      <c r="R37" s="62">
        <f t="shared" si="8"/>
        <v>312044</v>
      </c>
      <c r="S37" s="62"/>
    </row>
    <row r="38" spans="1:19" customFormat="1" ht="30" hidden="1" x14ac:dyDescent="0.25">
      <c r="A38" s="56" t="s">
        <v>19</v>
      </c>
      <c r="B38" s="54" t="s">
        <v>10</v>
      </c>
      <c r="C38" s="55">
        <v>1045005</v>
      </c>
      <c r="D38" s="55">
        <v>22692</v>
      </c>
      <c r="E38" s="55">
        <v>29679</v>
      </c>
      <c r="F38" s="55">
        <v>1415</v>
      </c>
      <c r="G38" s="55">
        <f t="shared" si="5"/>
        <v>53786</v>
      </c>
      <c r="H38" s="63">
        <v>352939</v>
      </c>
      <c r="I38" s="63">
        <v>461607</v>
      </c>
      <c r="J38" s="63">
        <v>22001</v>
      </c>
      <c r="K38" s="63">
        <f t="shared" si="6"/>
        <v>836547</v>
      </c>
      <c r="L38" s="63">
        <v>65256</v>
      </c>
      <c r="M38" s="63">
        <v>85348</v>
      </c>
      <c r="N38" s="63">
        <v>4068</v>
      </c>
      <c r="O38" s="63">
        <f t="shared" si="7"/>
        <v>154672</v>
      </c>
      <c r="R38" s="62">
        <f t="shared" si="8"/>
        <v>1045005</v>
      </c>
      <c r="S38" s="62"/>
    </row>
    <row r="39" spans="1:19" customFormat="1" hidden="1" x14ac:dyDescent="0.25">
      <c r="A39" s="56" t="s">
        <v>18</v>
      </c>
      <c r="B39" s="54" t="s">
        <v>9</v>
      </c>
      <c r="C39" s="55">
        <v>865822</v>
      </c>
      <c r="D39" s="55">
        <v>81561</v>
      </c>
      <c r="E39" s="55">
        <v>123290</v>
      </c>
      <c r="F39" s="55">
        <v>3691</v>
      </c>
      <c r="G39" s="55">
        <f t="shared" si="5"/>
        <v>208542</v>
      </c>
      <c r="H39" s="63">
        <v>254848</v>
      </c>
      <c r="I39" s="63">
        <v>385236</v>
      </c>
      <c r="J39" s="63">
        <v>11534</v>
      </c>
      <c r="K39" s="63">
        <f t="shared" si="6"/>
        <v>651618</v>
      </c>
      <c r="L39" s="63">
        <v>2214</v>
      </c>
      <c r="M39" s="63">
        <v>3348</v>
      </c>
      <c r="N39" s="63">
        <v>100</v>
      </c>
      <c r="O39" s="63">
        <f t="shared" si="7"/>
        <v>5662</v>
      </c>
      <c r="R39" s="62">
        <f t="shared" si="8"/>
        <v>865822</v>
      </c>
      <c r="S39" s="62"/>
    </row>
    <row r="40" spans="1:19" customFormat="1" hidden="1" x14ac:dyDescent="0.25">
      <c r="A40" s="56" t="s">
        <v>25</v>
      </c>
      <c r="B40" s="54" t="s">
        <v>8</v>
      </c>
      <c r="C40" s="55">
        <v>1445885</v>
      </c>
      <c r="D40" s="55">
        <v>10886</v>
      </c>
      <c r="E40" s="55">
        <v>46227</v>
      </c>
      <c r="F40" s="55">
        <v>0</v>
      </c>
      <c r="G40" s="55">
        <f t="shared" si="5"/>
        <v>57113</v>
      </c>
      <c r="H40" s="63">
        <v>176672</v>
      </c>
      <c r="I40" s="63">
        <v>750255</v>
      </c>
      <c r="J40" s="63">
        <v>0</v>
      </c>
      <c r="K40" s="63">
        <f t="shared" si="6"/>
        <v>926927</v>
      </c>
      <c r="L40" s="63">
        <v>88028</v>
      </c>
      <c r="M40" s="63">
        <v>373817</v>
      </c>
      <c r="N40" s="63">
        <v>0</v>
      </c>
      <c r="O40" s="63">
        <f t="shared" si="7"/>
        <v>461845</v>
      </c>
      <c r="R40" s="62">
        <f t="shared" si="8"/>
        <v>1445885</v>
      </c>
      <c r="S40" s="62"/>
    </row>
    <row r="41" spans="1:19" customFormat="1" hidden="1" x14ac:dyDescent="0.25">
      <c r="A41" s="56" t="s">
        <v>26</v>
      </c>
      <c r="B41" s="54" t="s">
        <v>7</v>
      </c>
      <c r="C41" s="55">
        <v>937588</v>
      </c>
      <c r="D41" s="55">
        <v>2063</v>
      </c>
      <c r="E41" s="55">
        <v>15067</v>
      </c>
      <c r="F41" s="55">
        <v>0</v>
      </c>
      <c r="G41" s="55">
        <f t="shared" si="5"/>
        <v>17130</v>
      </c>
      <c r="H41" s="63">
        <v>100759</v>
      </c>
      <c r="I41" s="63">
        <v>736113</v>
      </c>
      <c r="J41" s="63">
        <v>0</v>
      </c>
      <c r="K41" s="63">
        <f t="shared" si="6"/>
        <v>836872</v>
      </c>
      <c r="L41" s="63">
        <v>10064</v>
      </c>
      <c r="M41" s="63">
        <v>73522</v>
      </c>
      <c r="N41" s="63">
        <v>0</v>
      </c>
      <c r="O41" s="63">
        <f t="shared" si="7"/>
        <v>83586</v>
      </c>
      <c r="R41" s="62">
        <f t="shared" si="8"/>
        <v>937588</v>
      </c>
      <c r="S41" s="62"/>
    </row>
    <row r="42" spans="1:19" customFormat="1" hidden="1" x14ac:dyDescent="0.25">
      <c r="A42" s="56" t="s">
        <v>27</v>
      </c>
      <c r="B42" s="54" t="s">
        <v>6</v>
      </c>
      <c r="C42" s="55">
        <v>651668</v>
      </c>
      <c r="D42" s="55">
        <v>2626</v>
      </c>
      <c r="E42" s="55">
        <v>1843</v>
      </c>
      <c r="F42" s="55">
        <v>73</v>
      </c>
      <c r="G42" s="55">
        <f t="shared" si="5"/>
        <v>4542</v>
      </c>
      <c r="H42" s="63">
        <v>373539</v>
      </c>
      <c r="I42" s="63">
        <v>262207</v>
      </c>
      <c r="J42" s="63">
        <v>10403</v>
      </c>
      <c r="K42" s="63">
        <f t="shared" si="6"/>
        <v>646149</v>
      </c>
      <c r="L42" s="63">
        <v>565</v>
      </c>
      <c r="M42" s="63">
        <v>397</v>
      </c>
      <c r="N42" s="63">
        <v>15</v>
      </c>
      <c r="O42" s="63">
        <f t="shared" si="7"/>
        <v>977</v>
      </c>
      <c r="R42" s="62">
        <f t="shared" si="8"/>
        <v>651668</v>
      </c>
      <c r="S42" s="62"/>
    </row>
    <row r="43" spans="1:19" customFormat="1" hidden="1" x14ac:dyDescent="0.25">
      <c r="A43" s="56" t="s">
        <v>28</v>
      </c>
      <c r="B43" s="54" t="s">
        <v>5</v>
      </c>
      <c r="C43" s="55">
        <v>728498</v>
      </c>
      <c r="D43" s="55">
        <v>20863</v>
      </c>
      <c r="E43" s="55">
        <v>75057</v>
      </c>
      <c r="F43" s="55">
        <v>4868</v>
      </c>
      <c r="G43" s="55">
        <f t="shared" si="5"/>
        <v>100788</v>
      </c>
      <c r="H43" s="63">
        <v>128671</v>
      </c>
      <c r="I43" s="63">
        <v>462904</v>
      </c>
      <c r="J43" s="63">
        <v>30023</v>
      </c>
      <c r="K43" s="63">
        <f t="shared" si="6"/>
        <v>621598</v>
      </c>
      <c r="L43" s="63">
        <v>1265</v>
      </c>
      <c r="M43" s="63">
        <v>4552</v>
      </c>
      <c r="N43" s="63">
        <v>295</v>
      </c>
      <c r="O43" s="63">
        <f t="shared" si="7"/>
        <v>6112</v>
      </c>
      <c r="R43" s="62">
        <f t="shared" si="8"/>
        <v>728498</v>
      </c>
      <c r="S43" s="62"/>
    </row>
    <row r="44" spans="1:19" customFormat="1" hidden="1" x14ac:dyDescent="0.25">
      <c r="A44" s="56" t="s">
        <v>29</v>
      </c>
      <c r="B44" s="54" t="s">
        <v>4</v>
      </c>
      <c r="C44" s="55">
        <v>696437</v>
      </c>
      <c r="D44" s="55">
        <v>13505</v>
      </c>
      <c r="E44" s="55">
        <v>22754</v>
      </c>
      <c r="F44" s="55">
        <v>945</v>
      </c>
      <c r="G44" s="55">
        <f t="shared" si="5"/>
        <v>37204</v>
      </c>
      <c r="H44" s="63">
        <v>231396</v>
      </c>
      <c r="I44" s="63">
        <v>389868</v>
      </c>
      <c r="J44" s="63">
        <v>16191</v>
      </c>
      <c r="K44" s="63">
        <f t="shared" si="6"/>
        <v>637455</v>
      </c>
      <c r="L44" s="63">
        <v>7905</v>
      </c>
      <c r="M44" s="63">
        <v>13320</v>
      </c>
      <c r="N44" s="63">
        <v>553</v>
      </c>
      <c r="O44" s="63">
        <f t="shared" si="7"/>
        <v>21778</v>
      </c>
      <c r="R44" s="62">
        <f t="shared" si="8"/>
        <v>696437</v>
      </c>
      <c r="S44" s="62"/>
    </row>
    <row r="45" spans="1:19" customFormat="1" hidden="1" x14ac:dyDescent="0.25">
      <c r="A45" s="56">
        <v>14</v>
      </c>
      <c r="B45" s="54" t="s">
        <v>3</v>
      </c>
      <c r="C45" s="55">
        <v>913731</v>
      </c>
      <c r="D45" s="55">
        <v>43796</v>
      </c>
      <c r="E45" s="55">
        <v>21561</v>
      </c>
      <c r="F45" s="55">
        <v>2022</v>
      </c>
      <c r="G45" s="55">
        <f t="shared" si="5"/>
        <v>67379</v>
      </c>
      <c r="H45" s="63">
        <v>489335</v>
      </c>
      <c r="I45" s="63">
        <v>240903</v>
      </c>
      <c r="J45" s="63">
        <v>22585</v>
      </c>
      <c r="K45" s="63">
        <f t="shared" si="6"/>
        <v>752823</v>
      </c>
      <c r="L45" s="63">
        <v>60794</v>
      </c>
      <c r="M45" s="63">
        <v>29929</v>
      </c>
      <c r="N45" s="63">
        <v>2806</v>
      </c>
      <c r="O45" s="63">
        <f t="shared" si="7"/>
        <v>93529</v>
      </c>
      <c r="R45" s="62">
        <f t="shared" si="8"/>
        <v>913731</v>
      </c>
      <c r="S45" s="62"/>
    </row>
    <row r="46" spans="1:19" customFormat="1" ht="45" hidden="1" x14ac:dyDescent="0.25">
      <c r="A46" s="56" t="s">
        <v>30</v>
      </c>
      <c r="B46" s="54" t="s">
        <v>2</v>
      </c>
      <c r="C46" s="55">
        <v>122024</v>
      </c>
      <c r="D46" s="55">
        <v>3456</v>
      </c>
      <c r="E46" s="55">
        <v>0</v>
      </c>
      <c r="F46" s="55">
        <v>0</v>
      </c>
      <c r="G46" s="55">
        <f t="shared" si="5"/>
        <v>3456</v>
      </c>
      <c r="H46" s="63">
        <v>102155</v>
      </c>
      <c r="I46" s="63">
        <v>0</v>
      </c>
      <c r="J46" s="63">
        <v>0</v>
      </c>
      <c r="K46" s="63">
        <f t="shared" si="6"/>
        <v>102155</v>
      </c>
      <c r="L46" s="63">
        <v>16413</v>
      </c>
      <c r="M46" s="63">
        <v>0</v>
      </c>
      <c r="N46" s="63">
        <v>0</v>
      </c>
      <c r="O46" s="63">
        <f t="shared" si="7"/>
        <v>16413</v>
      </c>
      <c r="R46" s="62">
        <f t="shared" si="8"/>
        <v>122024</v>
      </c>
      <c r="S46" s="62"/>
    </row>
    <row r="47" spans="1:19" customFormat="1" ht="30" hidden="1" x14ac:dyDescent="0.25">
      <c r="A47" s="56" t="s">
        <v>31</v>
      </c>
      <c r="B47" s="54" t="s">
        <v>1</v>
      </c>
      <c r="C47" s="55">
        <v>87554</v>
      </c>
      <c r="D47" s="55">
        <v>6512</v>
      </c>
      <c r="E47" s="55">
        <v>0</v>
      </c>
      <c r="F47" s="55">
        <v>0</v>
      </c>
      <c r="G47" s="55">
        <f t="shared" si="5"/>
        <v>6512</v>
      </c>
      <c r="H47" s="63">
        <v>77510</v>
      </c>
      <c r="I47" s="63">
        <v>0</v>
      </c>
      <c r="J47" s="63">
        <v>0</v>
      </c>
      <c r="K47" s="63">
        <f t="shared" si="6"/>
        <v>77510</v>
      </c>
      <c r="L47" s="63">
        <v>3532</v>
      </c>
      <c r="M47" s="63">
        <v>0</v>
      </c>
      <c r="N47" s="63">
        <v>0</v>
      </c>
      <c r="O47" s="63">
        <f t="shared" si="7"/>
        <v>3532</v>
      </c>
      <c r="R47" s="62">
        <f t="shared" si="8"/>
        <v>87554</v>
      </c>
      <c r="S47" s="62"/>
    </row>
    <row r="48" spans="1:19" customFormat="1" hidden="1" x14ac:dyDescent="0.25">
      <c r="A48" s="56" t="s">
        <v>32</v>
      </c>
      <c r="B48" s="54" t="s">
        <v>73</v>
      </c>
      <c r="C48" s="55">
        <v>431020</v>
      </c>
      <c r="D48" s="55">
        <v>84777</v>
      </c>
      <c r="E48" s="55">
        <v>0</v>
      </c>
      <c r="F48" s="55">
        <v>0</v>
      </c>
      <c r="G48" s="55">
        <f t="shared" si="5"/>
        <v>84777</v>
      </c>
      <c r="H48" s="63">
        <v>277517</v>
      </c>
      <c r="I48" s="63">
        <v>0</v>
      </c>
      <c r="J48" s="63">
        <v>0</v>
      </c>
      <c r="K48" s="63">
        <f t="shared" si="6"/>
        <v>277517</v>
      </c>
      <c r="L48" s="63">
        <v>68726</v>
      </c>
      <c r="M48" s="63">
        <v>0</v>
      </c>
      <c r="N48" s="63">
        <v>0</v>
      </c>
      <c r="O48" s="63">
        <f t="shared" si="7"/>
        <v>68726</v>
      </c>
      <c r="R48" s="62">
        <f t="shared" si="8"/>
        <v>431020</v>
      </c>
      <c r="S48" s="62"/>
    </row>
    <row r="49" spans="1:34" ht="33" hidden="1" customHeight="1" x14ac:dyDescent="0.25">
      <c r="A49" s="56" t="s">
        <v>90</v>
      </c>
      <c r="B49" s="70" t="s">
        <v>91</v>
      </c>
      <c r="C49" s="55">
        <f>E49+I49+M49</f>
        <v>123323</v>
      </c>
      <c r="D49" s="55">
        <v>0</v>
      </c>
      <c r="E49" s="55">
        <v>20868</v>
      </c>
      <c r="F49" s="55">
        <v>0</v>
      </c>
      <c r="G49" s="55">
        <f t="shared" si="5"/>
        <v>20868</v>
      </c>
      <c r="H49" s="63">
        <v>0</v>
      </c>
      <c r="I49" s="63">
        <v>68615</v>
      </c>
      <c r="J49" s="63">
        <v>0</v>
      </c>
      <c r="K49" s="63">
        <f t="shared" si="6"/>
        <v>68615</v>
      </c>
      <c r="L49" s="63">
        <v>0</v>
      </c>
      <c r="M49" s="63">
        <v>33840</v>
      </c>
      <c r="N49" s="63">
        <v>0</v>
      </c>
      <c r="O49" s="63">
        <f t="shared" si="7"/>
        <v>33840</v>
      </c>
      <c r="R49" s="62">
        <f t="shared" si="8"/>
        <v>123323</v>
      </c>
      <c r="S49" s="62"/>
    </row>
    <row r="50" spans="1:34" ht="25.5" hidden="1" customHeight="1" x14ac:dyDescent="0.25">
      <c r="A50" s="57"/>
      <c r="B50" s="57" t="s">
        <v>0</v>
      </c>
      <c r="C50" s="58">
        <f>SUM(C32:C49)</f>
        <v>15157527</v>
      </c>
      <c r="D50" s="58">
        <f t="shared" ref="D50:O50" si="9">SUM(D32:D49)</f>
        <v>538800</v>
      </c>
      <c r="E50" s="58">
        <f t="shared" si="9"/>
        <v>1050672</v>
      </c>
      <c r="F50" s="58">
        <f t="shared" si="9"/>
        <v>18266</v>
      </c>
      <c r="G50" s="58">
        <f t="shared" si="9"/>
        <v>1607738</v>
      </c>
      <c r="H50" s="58">
        <f t="shared" si="9"/>
        <v>3555429</v>
      </c>
      <c r="I50" s="58">
        <f t="shared" si="9"/>
        <v>7733308</v>
      </c>
      <c r="J50" s="58">
        <f t="shared" si="9"/>
        <v>138571</v>
      </c>
      <c r="K50" s="58">
        <f t="shared" si="9"/>
        <v>11427308</v>
      </c>
      <c r="L50" s="58">
        <f t="shared" si="9"/>
        <v>602738</v>
      </c>
      <c r="M50" s="58">
        <f t="shared" si="9"/>
        <v>1504479</v>
      </c>
      <c r="N50" s="58">
        <f t="shared" si="9"/>
        <v>15264</v>
      </c>
      <c r="O50" s="58">
        <f t="shared" si="9"/>
        <v>2122481</v>
      </c>
      <c r="R50" s="62">
        <f t="shared" si="8"/>
        <v>15157527</v>
      </c>
      <c r="S50" s="62"/>
    </row>
    <row r="51" spans="1:34" hidden="1" x14ac:dyDescent="0.25">
      <c r="G51" s="2"/>
      <c r="H51" s="67"/>
      <c r="I51" s="67"/>
      <c r="J51" s="67"/>
    </row>
    <row r="52" spans="1:34" s="4" customFormat="1" ht="28.5" hidden="1" customHeight="1" x14ac:dyDescent="0.25">
      <c r="A52" s="152" t="s">
        <v>17</v>
      </c>
      <c r="B52" s="152" t="s">
        <v>33</v>
      </c>
      <c r="C52" s="152" t="s">
        <v>75</v>
      </c>
      <c r="D52" s="152" t="s">
        <v>69</v>
      </c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  <c r="R52" s="61"/>
      <c r="S52" s="61"/>
      <c r="V52" s="61"/>
      <c r="W52" s="61"/>
      <c r="X52" s="61"/>
      <c r="Y52" s="61"/>
      <c r="Z52" s="61"/>
      <c r="AC52" s="95"/>
      <c r="AD52" s="95"/>
      <c r="AE52" s="95"/>
      <c r="AF52" s="95"/>
      <c r="AG52" s="93"/>
      <c r="AH52" s="95"/>
    </row>
    <row r="53" spans="1:34" s="4" customFormat="1" ht="41.25" hidden="1" customHeight="1" x14ac:dyDescent="0.25">
      <c r="A53" s="152"/>
      <c r="B53" s="152"/>
      <c r="C53" s="152"/>
      <c r="D53" s="154" t="s">
        <v>36</v>
      </c>
      <c r="E53" s="154"/>
      <c r="F53" s="154"/>
      <c r="G53" s="154"/>
      <c r="H53" s="155" t="s">
        <v>37</v>
      </c>
      <c r="I53" s="156"/>
      <c r="J53" s="156"/>
      <c r="K53" s="157"/>
      <c r="L53" s="155" t="s">
        <v>38</v>
      </c>
      <c r="M53" s="156"/>
      <c r="N53" s="156"/>
      <c r="O53" s="157"/>
      <c r="R53" s="61"/>
      <c r="S53" s="61"/>
      <c r="V53" s="61"/>
      <c r="W53" s="61"/>
      <c r="X53" s="61"/>
      <c r="Y53" s="61"/>
      <c r="Z53" s="61"/>
      <c r="AC53" s="95"/>
      <c r="AD53" s="95"/>
      <c r="AE53" s="95"/>
      <c r="AF53" s="95"/>
      <c r="AG53" s="93"/>
      <c r="AH53" s="95"/>
    </row>
    <row r="54" spans="1:34" s="4" customFormat="1" ht="59.25" hidden="1" customHeight="1" x14ac:dyDescent="0.25">
      <c r="A54" s="152"/>
      <c r="B54" s="152"/>
      <c r="C54" s="152"/>
      <c r="D54" s="109" t="s">
        <v>66</v>
      </c>
      <c r="E54" s="109" t="s">
        <v>67</v>
      </c>
      <c r="F54" s="109" t="s">
        <v>68</v>
      </c>
      <c r="G54" s="109" t="s">
        <v>70</v>
      </c>
      <c r="H54" s="65" t="s">
        <v>66</v>
      </c>
      <c r="I54" s="65" t="s">
        <v>67</v>
      </c>
      <c r="J54" s="65" t="s">
        <v>68</v>
      </c>
      <c r="K54" s="65" t="s">
        <v>71</v>
      </c>
      <c r="L54" s="65" t="s">
        <v>66</v>
      </c>
      <c r="M54" s="65" t="s">
        <v>67</v>
      </c>
      <c r="N54" s="65" t="s">
        <v>68</v>
      </c>
      <c r="O54" s="65" t="s">
        <v>72</v>
      </c>
      <c r="R54" s="61"/>
      <c r="S54" s="61"/>
      <c r="V54" s="61"/>
      <c r="W54" s="61"/>
      <c r="X54" s="61"/>
      <c r="Y54" s="61"/>
      <c r="Z54" s="61"/>
      <c r="AC54" s="95"/>
      <c r="AD54" s="95"/>
      <c r="AE54" s="95"/>
      <c r="AF54" s="95"/>
      <c r="AG54" s="93"/>
      <c r="AH54" s="95"/>
    </row>
    <row r="55" spans="1:34" s="3" customFormat="1" ht="14.25" hidden="1" customHeight="1" x14ac:dyDescent="0.25">
      <c r="A55" s="53">
        <v>1</v>
      </c>
      <c r="B55" s="53">
        <v>2</v>
      </c>
      <c r="C55" s="53">
        <v>3</v>
      </c>
      <c r="D55" s="53">
        <v>4</v>
      </c>
      <c r="E55" s="53">
        <v>5</v>
      </c>
      <c r="F55" s="53">
        <v>6</v>
      </c>
      <c r="G55" s="53">
        <v>7</v>
      </c>
      <c r="H55" s="66">
        <v>8</v>
      </c>
      <c r="I55" s="66">
        <v>9</v>
      </c>
      <c r="J55" s="66">
        <v>10</v>
      </c>
      <c r="K55" s="66">
        <v>11</v>
      </c>
      <c r="L55" s="66">
        <v>12</v>
      </c>
      <c r="M55" s="66">
        <v>13</v>
      </c>
      <c r="N55" s="66">
        <v>14</v>
      </c>
      <c r="O55" s="66">
        <v>15</v>
      </c>
      <c r="R55" s="61"/>
      <c r="S55" s="61"/>
      <c r="V55" s="61"/>
      <c r="W55" s="61"/>
      <c r="X55" s="61"/>
      <c r="Y55" s="61"/>
      <c r="Z55" s="61"/>
      <c r="AC55" s="95"/>
      <c r="AD55" s="95"/>
      <c r="AE55" s="95"/>
      <c r="AF55" s="95"/>
      <c r="AG55" s="94"/>
      <c r="AH55" s="95"/>
    </row>
    <row r="56" spans="1:34" s="3" customFormat="1" ht="25.5" hidden="1" customHeight="1" x14ac:dyDescent="0.25">
      <c r="A56" s="53" t="s">
        <v>16</v>
      </c>
      <c r="B56" s="54" t="s">
        <v>15</v>
      </c>
      <c r="C56" s="55">
        <v>5778001</v>
      </c>
      <c r="D56" s="55">
        <v>109177</v>
      </c>
      <c r="E56" s="55">
        <v>792365</v>
      </c>
      <c r="F56" s="55">
        <v>0</v>
      </c>
      <c r="G56" s="55">
        <f>D56+E56+F56</f>
        <v>901542</v>
      </c>
      <c r="H56" s="63">
        <v>460357</v>
      </c>
      <c r="I56" s="63">
        <v>3341105</v>
      </c>
      <c r="J56" s="63">
        <v>0</v>
      </c>
      <c r="K56" s="63">
        <f>H56+I56+J56</f>
        <v>3801462</v>
      </c>
      <c r="L56" s="63">
        <v>130182</v>
      </c>
      <c r="M56" s="63">
        <v>944815</v>
      </c>
      <c r="N56" s="63">
        <v>0</v>
      </c>
      <c r="O56" s="63">
        <f>L56+M56+N56</f>
        <v>1074997</v>
      </c>
      <c r="R56" s="62">
        <f>G56+K56+O56</f>
        <v>5778001</v>
      </c>
      <c r="S56" s="62"/>
      <c r="V56" s="61"/>
      <c r="W56" s="61"/>
      <c r="X56" s="61"/>
      <c r="Y56" s="61"/>
      <c r="Z56" s="61"/>
      <c r="AC56" s="95"/>
      <c r="AD56" s="95"/>
      <c r="AE56" s="95"/>
      <c r="AF56" s="95"/>
      <c r="AG56" s="94"/>
      <c r="AH56" s="95"/>
    </row>
    <row r="57" spans="1:34" ht="40.5" hidden="1" customHeight="1" x14ac:dyDescent="0.25">
      <c r="A57" s="56" t="s">
        <v>24</v>
      </c>
      <c r="B57" s="54" t="s">
        <v>14</v>
      </c>
      <c r="C57" s="55">
        <v>298337</v>
      </c>
      <c r="D57" s="55">
        <v>34119</v>
      </c>
      <c r="E57" s="55">
        <v>26849</v>
      </c>
      <c r="F57" s="55">
        <v>853</v>
      </c>
      <c r="G57" s="55">
        <f t="shared" ref="G57:G73" si="10">D57+E57+F57</f>
        <v>61821</v>
      </c>
      <c r="H57" s="63">
        <v>100270</v>
      </c>
      <c r="I57" s="63">
        <v>78904</v>
      </c>
      <c r="J57" s="63">
        <v>2507</v>
      </c>
      <c r="K57" s="63">
        <f t="shared" ref="K57:K73" si="11">H57+I57+J57</f>
        <v>181681</v>
      </c>
      <c r="L57" s="63">
        <v>30263</v>
      </c>
      <c r="M57" s="63">
        <v>23815</v>
      </c>
      <c r="N57" s="63">
        <v>757</v>
      </c>
      <c r="O57" s="63">
        <f t="shared" ref="O57:O73" si="12">L57+M57+N57</f>
        <v>54835</v>
      </c>
      <c r="R57" s="62">
        <f t="shared" ref="R57:R74" si="13">G57+K57+O57</f>
        <v>298337</v>
      </c>
      <c r="S57" s="62"/>
    </row>
    <row r="58" spans="1:34" ht="34.5" hidden="1" customHeight="1" x14ac:dyDescent="0.25">
      <c r="A58" s="56" t="s">
        <v>23</v>
      </c>
      <c r="B58" s="54" t="s">
        <v>13</v>
      </c>
      <c r="C58" s="55">
        <v>1664316</v>
      </c>
      <c r="D58" s="55">
        <v>0</v>
      </c>
      <c r="E58" s="55">
        <v>94333</v>
      </c>
      <c r="F58" s="55">
        <v>0</v>
      </c>
      <c r="G58" s="55">
        <f t="shared" si="10"/>
        <v>94333</v>
      </c>
      <c r="H58" s="63">
        <v>0</v>
      </c>
      <c r="I58" s="63">
        <v>1398275</v>
      </c>
      <c r="J58" s="63">
        <v>0</v>
      </c>
      <c r="K58" s="63">
        <f t="shared" si="11"/>
        <v>1398275</v>
      </c>
      <c r="L58" s="63">
        <v>0</v>
      </c>
      <c r="M58" s="63">
        <v>171708</v>
      </c>
      <c r="N58" s="63">
        <v>0</v>
      </c>
      <c r="O58" s="63">
        <f t="shared" si="12"/>
        <v>171708</v>
      </c>
      <c r="R58" s="62">
        <f t="shared" si="13"/>
        <v>1664316</v>
      </c>
      <c r="S58" s="62"/>
    </row>
    <row r="59" spans="1:34" ht="40.5" hidden="1" customHeight="1" x14ac:dyDescent="0.25">
      <c r="A59" s="56" t="s">
        <v>22</v>
      </c>
      <c r="B59" s="54" t="s">
        <v>12</v>
      </c>
      <c r="C59" s="55">
        <v>197228</v>
      </c>
      <c r="D59" s="55">
        <v>22687</v>
      </c>
      <c r="E59" s="55">
        <v>0</v>
      </c>
      <c r="F59" s="55">
        <v>0</v>
      </c>
      <c r="G59" s="55">
        <f t="shared" si="10"/>
        <v>22687</v>
      </c>
      <c r="H59" s="63">
        <v>147550</v>
      </c>
      <c r="I59" s="63">
        <v>0</v>
      </c>
      <c r="J59" s="63">
        <v>0</v>
      </c>
      <c r="K59" s="63">
        <f t="shared" si="11"/>
        <v>147550</v>
      </c>
      <c r="L59" s="63">
        <v>26991</v>
      </c>
      <c r="M59" s="63">
        <v>0</v>
      </c>
      <c r="N59" s="63">
        <v>0</v>
      </c>
      <c r="O59" s="63">
        <f t="shared" si="12"/>
        <v>26991</v>
      </c>
      <c r="R59" s="62">
        <f t="shared" si="13"/>
        <v>197228</v>
      </c>
      <c r="S59" s="62"/>
    </row>
    <row r="60" spans="1:34" ht="39.75" hidden="1" customHeight="1" x14ac:dyDescent="0.25">
      <c r="A60" s="56" t="s">
        <v>21</v>
      </c>
      <c r="B60" s="54" t="s">
        <v>11</v>
      </c>
      <c r="C60" s="55">
        <v>148004</v>
      </c>
      <c r="D60" s="55">
        <v>5785</v>
      </c>
      <c r="E60" s="55">
        <v>9172</v>
      </c>
      <c r="F60" s="55">
        <v>3966</v>
      </c>
      <c r="G60" s="55">
        <f t="shared" si="10"/>
        <v>18923</v>
      </c>
      <c r="H60" s="63">
        <v>30685</v>
      </c>
      <c r="I60" s="63">
        <v>48653</v>
      </c>
      <c r="J60" s="63">
        <v>21039</v>
      </c>
      <c r="K60" s="63">
        <f t="shared" si="11"/>
        <v>100377</v>
      </c>
      <c r="L60" s="63">
        <v>8775</v>
      </c>
      <c r="M60" s="63">
        <v>13913</v>
      </c>
      <c r="N60" s="63">
        <v>6016</v>
      </c>
      <c r="O60" s="63">
        <f t="shared" si="12"/>
        <v>28704</v>
      </c>
      <c r="R60" s="62">
        <f t="shared" si="13"/>
        <v>148004</v>
      </c>
      <c r="S60" s="62"/>
    </row>
    <row r="61" spans="1:34" ht="28.5" hidden="1" customHeight="1" x14ac:dyDescent="0.25">
      <c r="A61" s="56" t="s">
        <v>20</v>
      </c>
      <c r="B61" s="54" t="s">
        <v>34</v>
      </c>
      <c r="C61" s="55">
        <v>312044</v>
      </c>
      <c r="D61" s="55">
        <v>58408</v>
      </c>
      <c r="E61" s="55">
        <v>0</v>
      </c>
      <c r="F61" s="55">
        <v>0</v>
      </c>
      <c r="G61" s="55">
        <f t="shared" si="10"/>
        <v>58408</v>
      </c>
      <c r="H61" s="63">
        <v>190650</v>
      </c>
      <c r="I61" s="63">
        <v>0</v>
      </c>
      <c r="J61" s="63">
        <v>0</v>
      </c>
      <c r="K61" s="63">
        <f t="shared" si="11"/>
        <v>190650</v>
      </c>
      <c r="L61" s="63">
        <v>62986</v>
      </c>
      <c r="M61" s="63">
        <v>0</v>
      </c>
      <c r="N61" s="63">
        <v>0</v>
      </c>
      <c r="O61" s="63">
        <f t="shared" si="12"/>
        <v>62986</v>
      </c>
      <c r="R61" s="62">
        <f t="shared" si="13"/>
        <v>312044</v>
      </c>
      <c r="S61" s="62"/>
    </row>
    <row r="62" spans="1:34" ht="34.5" hidden="1" customHeight="1" x14ac:dyDescent="0.25">
      <c r="A62" s="56" t="s">
        <v>19</v>
      </c>
      <c r="B62" s="54" t="s">
        <v>10</v>
      </c>
      <c r="C62" s="55">
        <v>1003584</v>
      </c>
      <c r="D62" s="55">
        <v>21803</v>
      </c>
      <c r="E62" s="55">
        <v>28518</v>
      </c>
      <c r="F62" s="55">
        <v>1333</v>
      </c>
      <c r="G62" s="55">
        <f t="shared" si="10"/>
        <v>51654</v>
      </c>
      <c r="H62" s="63">
        <v>339111</v>
      </c>
      <c r="I62" s="63">
        <v>443551</v>
      </c>
      <c r="J62" s="63">
        <v>20727</v>
      </c>
      <c r="K62" s="63">
        <f t="shared" si="11"/>
        <v>803389</v>
      </c>
      <c r="L62" s="63">
        <v>62700</v>
      </c>
      <c r="M62" s="63">
        <v>82009</v>
      </c>
      <c r="N62" s="63">
        <v>3832</v>
      </c>
      <c r="O62" s="63">
        <f t="shared" si="12"/>
        <v>148541</v>
      </c>
      <c r="R62" s="62">
        <f t="shared" si="13"/>
        <v>1003584</v>
      </c>
      <c r="S62" s="62"/>
    </row>
    <row r="63" spans="1:34" ht="25.5" hidden="1" customHeight="1" x14ac:dyDescent="0.25">
      <c r="A63" s="56" t="s">
        <v>18</v>
      </c>
      <c r="B63" s="54" t="s">
        <v>9</v>
      </c>
      <c r="C63" s="55">
        <v>870861</v>
      </c>
      <c r="D63" s="55">
        <v>82686</v>
      </c>
      <c r="E63" s="55">
        <v>123357</v>
      </c>
      <c r="F63" s="55">
        <v>3713</v>
      </c>
      <c r="G63" s="55">
        <f t="shared" si="10"/>
        <v>209756</v>
      </c>
      <c r="H63" s="63">
        <v>258363</v>
      </c>
      <c r="I63" s="63">
        <v>385446</v>
      </c>
      <c r="J63" s="63">
        <v>11601</v>
      </c>
      <c r="K63" s="63">
        <f t="shared" si="11"/>
        <v>655410</v>
      </c>
      <c r="L63" s="63">
        <v>2245</v>
      </c>
      <c r="M63" s="63">
        <v>3349</v>
      </c>
      <c r="N63" s="63">
        <v>101</v>
      </c>
      <c r="O63" s="63">
        <f t="shared" si="12"/>
        <v>5695</v>
      </c>
      <c r="R63" s="62">
        <f t="shared" si="13"/>
        <v>870861</v>
      </c>
      <c r="S63" s="62"/>
    </row>
    <row r="64" spans="1:34" ht="25.5" hidden="1" customHeight="1" x14ac:dyDescent="0.25">
      <c r="A64" s="56" t="s">
        <v>25</v>
      </c>
      <c r="B64" s="54" t="s">
        <v>8</v>
      </c>
      <c r="C64" s="55">
        <v>1466498</v>
      </c>
      <c r="D64" s="55">
        <v>12101</v>
      </c>
      <c r="E64" s="55">
        <v>45826</v>
      </c>
      <c r="F64" s="55">
        <v>0</v>
      </c>
      <c r="G64" s="55">
        <f t="shared" si="10"/>
        <v>57927</v>
      </c>
      <c r="H64" s="63">
        <v>196396</v>
      </c>
      <c r="I64" s="63">
        <v>743746</v>
      </c>
      <c r="J64" s="63">
        <v>0</v>
      </c>
      <c r="K64" s="63">
        <f t="shared" si="11"/>
        <v>940142</v>
      </c>
      <c r="L64" s="63">
        <v>97855</v>
      </c>
      <c r="M64" s="63">
        <v>370574</v>
      </c>
      <c r="N64" s="63">
        <v>0</v>
      </c>
      <c r="O64" s="63">
        <f t="shared" si="12"/>
        <v>468429</v>
      </c>
      <c r="R64" s="62">
        <f t="shared" si="13"/>
        <v>1466498</v>
      </c>
      <c r="S64" s="62"/>
    </row>
    <row r="65" spans="1:34" ht="25.5" hidden="1" customHeight="1" x14ac:dyDescent="0.25">
      <c r="A65" s="56" t="s">
        <v>26</v>
      </c>
      <c r="B65" s="54" t="s">
        <v>7</v>
      </c>
      <c r="C65" s="55">
        <v>952782</v>
      </c>
      <c r="D65" s="55">
        <v>2024</v>
      </c>
      <c r="E65" s="55">
        <v>15383</v>
      </c>
      <c r="F65" s="55">
        <v>0</v>
      </c>
      <c r="G65" s="55">
        <f t="shared" si="10"/>
        <v>17407</v>
      </c>
      <c r="H65" s="63">
        <v>98906</v>
      </c>
      <c r="I65" s="63">
        <v>751529</v>
      </c>
      <c r="J65" s="63">
        <v>0</v>
      </c>
      <c r="K65" s="63">
        <f t="shared" si="11"/>
        <v>850435</v>
      </c>
      <c r="L65" s="63">
        <v>9878</v>
      </c>
      <c r="M65" s="63">
        <v>75062</v>
      </c>
      <c r="N65" s="63">
        <v>0</v>
      </c>
      <c r="O65" s="63">
        <f t="shared" si="12"/>
        <v>84940</v>
      </c>
      <c r="R65" s="62">
        <f t="shared" si="13"/>
        <v>952782</v>
      </c>
      <c r="S65" s="62"/>
    </row>
    <row r="66" spans="1:34" ht="25.5" hidden="1" customHeight="1" x14ac:dyDescent="0.25">
      <c r="A66" s="56" t="s">
        <v>27</v>
      </c>
      <c r="B66" s="54" t="s">
        <v>6</v>
      </c>
      <c r="C66" s="55">
        <v>535884</v>
      </c>
      <c r="D66" s="55">
        <v>2222</v>
      </c>
      <c r="E66" s="55">
        <v>1454</v>
      </c>
      <c r="F66" s="55">
        <v>59</v>
      </c>
      <c r="G66" s="55">
        <f t="shared" si="10"/>
        <v>3735</v>
      </c>
      <c r="H66" s="63">
        <v>316150</v>
      </c>
      <c r="I66" s="63">
        <v>206853</v>
      </c>
      <c r="J66" s="63">
        <v>8342</v>
      </c>
      <c r="K66" s="63">
        <f t="shared" si="11"/>
        <v>531345</v>
      </c>
      <c r="L66" s="63">
        <v>478</v>
      </c>
      <c r="M66" s="63">
        <v>313</v>
      </c>
      <c r="N66" s="63">
        <v>13</v>
      </c>
      <c r="O66" s="63">
        <f t="shared" si="12"/>
        <v>804</v>
      </c>
      <c r="R66" s="62">
        <f t="shared" si="13"/>
        <v>535884</v>
      </c>
      <c r="S66" s="62"/>
    </row>
    <row r="67" spans="1:34" ht="25.5" hidden="1" customHeight="1" x14ac:dyDescent="0.25">
      <c r="A67" s="56" t="s">
        <v>28</v>
      </c>
      <c r="B67" s="54" t="s">
        <v>5</v>
      </c>
      <c r="C67" s="55">
        <v>1013772</v>
      </c>
      <c r="D67" s="55">
        <v>41880</v>
      </c>
      <c r="E67" s="55">
        <v>92737</v>
      </c>
      <c r="F67" s="55">
        <v>5638</v>
      </c>
      <c r="G67" s="55">
        <f t="shared" si="10"/>
        <v>140255</v>
      </c>
      <c r="H67" s="63">
        <v>258292</v>
      </c>
      <c r="I67" s="63">
        <v>571946</v>
      </c>
      <c r="J67" s="63">
        <v>34773</v>
      </c>
      <c r="K67" s="63">
        <f t="shared" si="11"/>
        <v>865011</v>
      </c>
      <c r="L67" s="63">
        <v>2540</v>
      </c>
      <c r="M67" s="63">
        <v>5624</v>
      </c>
      <c r="N67" s="63">
        <v>342</v>
      </c>
      <c r="O67" s="63">
        <f t="shared" si="12"/>
        <v>8506</v>
      </c>
      <c r="R67" s="62">
        <f t="shared" si="13"/>
        <v>1013772</v>
      </c>
      <c r="S67" s="62"/>
    </row>
    <row r="68" spans="1:34" ht="25.5" hidden="1" customHeight="1" x14ac:dyDescent="0.25">
      <c r="A68" s="56" t="s">
        <v>29</v>
      </c>
      <c r="B68" s="54" t="s">
        <v>4</v>
      </c>
      <c r="C68" s="55">
        <v>587564</v>
      </c>
      <c r="D68" s="55">
        <v>11394</v>
      </c>
      <c r="E68" s="55">
        <v>19197</v>
      </c>
      <c r="F68" s="55">
        <v>797</v>
      </c>
      <c r="G68" s="55">
        <f t="shared" si="10"/>
        <v>31388</v>
      </c>
      <c r="H68" s="63">
        <v>195223</v>
      </c>
      <c r="I68" s="63">
        <v>328920</v>
      </c>
      <c r="J68" s="63">
        <v>13660</v>
      </c>
      <c r="K68" s="63">
        <f t="shared" si="11"/>
        <v>537803</v>
      </c>
      <c r="L68" s="63">
        <v>6670</v>
      </c>
      <c r="M68" s="63">
        <v>11236</v>
      </c>
      <c r="N68" s="63">
        <v>467</v>
      </c>
      <c r="O68" s="63">
        <f t="shared" si="12"/>
        <v>18373</v>
      </c>
      <c r="R68" s="62">
        <f t="shared" si="13"/>
        <v>587564</v>
      </c>
      <c r="S68" s="62"/>
    </row>
    <row r="69" spans="1:34" ht="25.5" hidden="1" customHeight="1" x14ac:dyDescent="0.25">
      <c r="A69" s="56">
        <v>14</v>
      </c>
      <c r="B69" s="54" t="s">
        <v>3</v>
      </c>
      <c r="C69" s="55">
        <v>913731</v>
      </c>
      <c r="D69" s="55">
        <v>43796</v>
      </c>
      <c r="E69" s="55">
        <v>21561</v>
      </c>
      <c r="F69" s="55">
        <v>2021</v>
      </c>
      <c r="G69" s="55">
        <f t="shared" si="10"/>
        <v>67378</v>
      </c>
      <c r="H69" s="63">
        <v>489335</v>
      </c>
      <c r="I69" s="63">
        <v>240903</v>
      </c>
      <c r="J69" s="63">
        <v>22585</v>
      </c>
      <c r="K69" s="63">
        <f t="shared" si="11"/>
        <v>752823</v>
      </c>
      <c r="L69" s="63">
        <v>60794</v>
      </c>
      <c r="M69" s="63">
        <v>29930</v>
      </c>
      <c r="N69" s="63">
        <v>2806</v>
      </c>
      <c r="O69" s="63">
        <f t="shared" si="12"/>
        <v>93530</v>
      </c>
      <c r="R69" s="62">
        <f t="shared" si="13"/>
        <v>913731</v>
      </c>
      <c r="S69" s="62"/>
    </row>
    <row r="70" spans="1:34" ht="54" hidden="1" customHeight="1" x14ac:dyDescent="0.25">
      <c r="A70" s="56" t="s">
        <v>30</v>
      </c>
      <c r="B70" s="54" t="s">
        <v>2</v>
      </c>
      <c r="C70" s="55">
        <v>95156</v>
      </c>
      <c r="D70" s="55">
        <v>2695</v>
      </c>
      <c r="E70" s="55">
        <v>0</v>
      </c>
      <c r="F70" s="55">
        <v>0</v>
      </c>
      <c r="G70" s="55">
        <f t="shared" si="10"/>
        <v>2695</v>
      </c>
      <c r="H70" s="63">
        <v>79662</v>
      </c>
      <c r="I70" s="63">
        <v>0</v>
      </c>
      <c r="J70" s="63">
        <v>0</v>
      </c>
      <c r="K70" s="63">
        <f t="shared" si="11"/>
        <v>79662</v>
      </c>
      <c r="L70" s="63">
        <v>12799</v>
      </c>
      <c r="M70" s="63">
        <v>0</v>
      </c>
      <c r="N70" s="63">
        <v>0</v>
      </c>
      <c r="O70" s="63">
        <f t="shared" si="12"/>
        <v>12799</v>
      </c>
      <c r="R70" s="62">
        <f t="shared" si="13"/>
        <v>95156</v>
      </c>
      <c r="S70" s="62"/>
    </row>
    <row r="71" spans="1:34" ht="39.75" hidden="1" customHeight="1" x14ac:dyDescent="0.25">
      <c r="A71" s="56" t="s">
        <v>31</v>
      </c>
      <c r="B71" s="54" t="s">
        <v>1</v>
      </c>
      <c r="C71" s="55">
        <v>70451</v>
      </c>
      <c r="D71" s="55">
        <v>5240</v>
      </c>
      <c r="E71" s="55">
        <v>0</v>
      </c>
      <c r="F71" s="55">
        <v>0</v>
      </c>
      <c r="G71" s="55">
        <f t="shared" si="10"/>
        <v>5240</v>
      </c>
      <c r="H71" s="63">
        <v>62369</v>
      </c>
      <c r="I71" s="63">
        <v>0</v>
      </c>
      <c r="J71" s="63">
        <v>0</v>
      </c>
      <c r="K71" s="63">
        <f t="shared" si="11"/>
        <v>62369</v>
      </c>
      <c r="L71" s="63">
        <v>2842</v>
      </c>
      <c r="M71" s="63">
        <v>0</v>
      </c>
      <c r="N71" s="63">
        <v>0</v>
      </c>
      <c r="O71" s="63">
        <f t="shared" si="12"/>
        <v>2842</v>
      </c>
      <c r="R71" s="62">
        <f t="shared" si="13"/>
        <v>70451</v>
      </c>
      <c r="S71" s="62"/>
    </row>
    <row r="72" spans="1:34" ht="33" hidden="1" customHeight="1" x14ac:dyDescent="0.25">
      <c r="A72" s="56" t="s">
        <v>32</v>
      </c>
      <c r="B72" s="54" t="s">
        <v>73</v>
      </c>
      <c r="C72" s="55">
        <v>46244</v>
      </c>
      <c r="D72" s="55">
        <v>9095</v>
      </c>
      <c r="E72" s="55">
        <v>0</v>
      </c>
      <c r="F72" s="55">
        <v>0</v>
      </c>
      <c r="G72" s="55">
        <f t="shared" si="10"/>
        <v>9095</v>
      </c>
      <c r="H72" s="63">
        <v>29775</v>
      </c>
      <c r="I72" s="63">
        <v>0</v>
      </c>
      <c r="J72" s="63">
        <v>0</v>
      </c>
      <c r="K72" s="63">
        <f t="shared" si="11"/>
        <v>29775</v>
      </c>
      <c r="L72" s="63">
        <v>7374</v>
      </c>
      <c r="M72" s="63">
        <v>0</v>
      </c>
      <c r="N72" s="63">
        <v>0</v>
      </c>
      <c r="O72" s="63">
        <f t="shared" si="12"/>
        <v>7374</v>
      </c>
      <c r="R72" s="62">
        <f t="shared" si="13"/>
        <v>46244</v>
      </c>
      <c r="S72" s="62"/>
    </row>
    <row r="73" spans="1:34" ht="33" hidden="1" customHeight="1" x14ac:dyDescent="0.25">
      <c r="A73" s="56" t="s">
        <v>90</v>
      </c>
      <c r="B73" s="70" t="s">
        <v>91</v>
      </c>
      <c r="C73" s="55">
        <f>E73+I73+M73</f>
        <v>61662</v>
      </c>
      <c r="D73" s="55">
        <v>0</v>
      </c>
      <c r="E73" s="55">
        <v>10436</v>
      </c>
      <c r="F73" s="55">
        <v>0</v>
      </c>
      <c r="G73" s="55">
        <f t="shared" si="10"/>
        <v>10436</v>
      </c>
      <c r="H73" s="63">
        <v>0</v>
      </c>
      <c r="I73" s="63">
        <v>34306</v>
      </c>
      <c r="J73" s="63">
        <v>0</v>
      </c>
      <c r="K73" s="63">
        <f t="shared" si="11"/>
        <v>34306</v>
      </c>
      <c r="L73" s="63">
        <v>0</v>
      </c>
      <c r="M73" s="63">
        <v>16920</v>
      </c>
      <c r="N73" s="63">
        <v>0</v>
      </c>
      <c r="O73" s="63">
        <f t="shared" si="12"/>
        <v>16920</v>
      </c>
      <c r="R73" s="62">
        <f t="shared" si="13"/>
        <v>61662</v>
      </c>
      <c r="S73" s="62"/>
    </row>
    <row r="74" spans="1:34" ht="25.5" hidden="1" customHeight="1" x14ac:dyDescent="0.25">
      <c r="A74" s="57"/>
      <c r="B74" s="57" t="s">
        <v>0</v>
      </c>
      <c r="C74" s="58">
        <f>SUM(C56:C73)</f>
        <v>16016119</v>
      </c>
      <c r="D74" s="58">
        <f>SUM(D56:D73)</f>
        <v>465112</v>
      </c>
      <c r="E74" s="58">
        <f t="shared" ref="E74:O74" si="14">SUM(E56:E73)</f>
        <v>1281188</v>
      </c>
      <c r="F74" s="58">
        <f t="shared" si="14"/>
        <v>18380</v>
      </c>
      <c r="G74" s="58">
        <f t="shared" si="14"/>
        <v>1764680</v>
      </c>
      <c r="H74" s="58">
        <f t="shared" si="14"/>
        <v>3253094</v>
      </c>
      <c r="I74" s="58">
        <f t="shared" si="14"/>
        <v>8574137</v>
      </c>
      <c r="J74" s="58">
        <f t="shared" si="14"/>
        <v>135234</v>
      </c>
      <c r="K74" s="58">
        <f t="shared" si="14"/>
        <v>11962465</v>
      </c>
      <c r="L74" s="58">
        <f t="shared" si="14"/>
        <v>525372</v>
      </c>
      <c r="M74" s="58">
        <f t="shared" si="14"/>
        <v>1749268</v>
      </c>
      <c r="N74" s="58">
        <f t="shared" si="14"/>
        <v>14334</v>
      </c>
      <c r="O74" s="58">
        <f t="shared" si="14"/>
        <v>2288974</v>
      </c>
      <c r="R74" s="62">
        <f t="shared" si="13"/>
        <v>16016119</v>
      </c>
      <c r="S74" s="62"/>
    </row>
    <row r="75" spans="1:34" hidden="1" x14ac:dyDescent="0.25"/>
    <row r="76" spans="1:34" s="4" customFormat="1" ht="28.5" hidden="1" customHeight="1" x14ac:dyDescent="0.25">
      <c r="A76" s="152" t="s">
        <v>17</v>
      </c>
      <c r="B76" s="152" t="s">
        <v>33</v>
      </c>
      <c r="C76" s="159" t="s">
        <v>76</v>
      </c>
      <c r="D76" s="152" t="s">
        <v>69</v>
      </c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R76" s="61"/>
      <c r="S76" s="61"/>
      <c r="V76" s="61"/>
      <c r="W76" s="61"/>
      <c r="X76" s="61"/>
      <c r="Y76" s="61"/>
      <c r="Z76" s="61"/>
      <c r="AC76" s="95"/>
      <c r="AD76" s="95"/>
      <c r="AE76" s="95"/>
      <c r="AF76" s="95"/>
      <c r="AG76" s="93"/>
      <c r="AH76" s="95"/>
    </row>
    <row r="77" spans="1:34" s="4" customFormat="1" ht="41.25" hidden="1" customHeight="1" x14ac:dyDescent="0.25">
      <c r="A77" s="152"/>
      <c r="B77" s="152"/>
      <c r="C77" s="159"/>
      <c r="D77" s="154" t="s">
        <v>36</v>
      </c>
      <c r="E77" s="154"/>
      <c r="F77" s="154"/>
      <c r="G77" s="154"/>
      <c r="H77" s="155" t="s">
        <v>37</v>
      </c>
      <c r="I77" s="156"/>
      <c r="J77" s="156"/>
      <c r="K77" s="157"/>
      <c r="L77" s="155" t="s">
        <v>38</v>
      </c>
      <c r="M77" s="156"/>
      <c r="N77" s="156"/>
      <c r="O77" s="157"/>
      <c r="R77" s="61"/>
      <c r="S77" s="61"/>
      <c r="V77" s="61"/>
      <c r="W77" s="61"/>
      <c r="X77" s="61"/>
      <c r="Y77" s="61"/>
      <c r="Z77" s="61"/>
      <c r="AC77" s="95"/>
      <c r="AD77" s="95"/>
      <c r="AE77" s="95"/>
      <c r="AF77" s="95"/>
      <c r="AG77" s="93"/>
      <c r="AH77" s="95"/>
    </row>
    <row r="78" spans="1:34" s="4" customFormat="1" ht="59.25" hidden="1" customHeight="1" x14ac:dyDescent="0.25">
      <c r="A78" s="152"/>
      <c r="B78" s="152"/>
      <c r="C78" s="159"/>
      <c r="D78" s="109" t="s">
        <v>66</v>
      </c>
      <c r="E78" s="109" t="s">
        <v>67</v>
      </c>
      <c r="F78" s="109" t="s">
        <v>68</v>
      </c>
      <c r="G78" s="109" t="s">
        <v>70</v>
      </c>
      <c r="H78" s="65" t="s">
        <v>66</v>
      </c>
      <c r="I78" s="65" t="s">
        <v>67</v>
      </c>
      <c r="J78" s="65" t="s">
        <v>68</v>
      </c>
      <c r="K78" s="65" t="s">
        <v>71</v>
      </c>
      <c r="L78" s="65" t="s">
        <v>66</v>
      </c>
      <c r="M78" s="65" t="s">
        <v>67</v>
      </c>
      <c r="N78" s="65" t="s">
        <v>68</v>
      </c>
      <c r="O78" s="65" t="s">
        <v>72</v>
      </c>
      <c r="R78" s="61"/>
      <c r="S78" s="61"/>
      <c r="V78" s="61"/>
      <c r="W78" s="61"/>
      <c r="X78" s="61"/>
      <c r="Y78" s="61"/>
      <c r="Z78" s="61"/>
      <c r="AC78" s="95"/>
      <c r="AD78" s="95"/>
      <c r="AE78" s="95"/>
      <c r="AF78" s="95"/>
      <c r="AG78" s="93"/>
      <c r="AH78" s="95"/>
    </row>
    <row r="79" spans="1:34" s="3" customFormat="1" ht="14.25" hidden="1" customHeight="1" x14ac:dyDescent="0.25">
      <c r="A79" s="53">
        <v>1</v>
      </c>
      <c r="B79" s="53">
        <v>2</v>
      </c>
      <c r="C79" s="53">
        <v>3</v>
      </c>
      <c r="D79" s="53">
        <v>4</v>
      </c>
      <c r="E79" s="53">
        <v>5</v>
      </c>
      <c r="F79" s="53">
        <v>6</v>
      </c>
      <c r="G79" s="53">
        <v>7</v>
      </c>
      <c r="H79" s="66">
        <v>8</v>
      </c>
      <c r="I79" s="66">
        <v>9</v>
      </c>
      <c r="J79" s="66">
        <v>10</v>
      </c>
      <c r="K79" s="66">
        <v>11</v>
      </c>
      <c r="L79" s="66">
        <v>12</v>
      </c>
      <c r="M79" s="66">
        <v>13</v>
      </c>
      <c r="N79" s="66">
        <v>14</v>
      </c>
      <c r="O79" s="66">
        <v>15</v>
      </c>
      <c r="R79" s="61"/>
      <c r="S79" s="61"/>
      <c r="V79" s="61"/>
      <c r="W79" s="61"/>
      <c r="X79" s="61"/>
      <c r="Y79" s="61"/>
      <c r="Z79" s="61"/>
      <c r="AC79" s="95"/>
      <c r="AD79" s="95"/>
      <c r="AE79" s="95"/>
      <c r="AF79" s="95"/>
      <c r="AG79" s="94"/>
      <c r="AH79" s="95"/>
    </row>
    <row r="80" spans="1:34" s="3" customFormat="1" ht="25.5" hidden="1" customHeight="1" x14ac:dyDescent="0.25">
      <c r="A80" s="53" t="s">
        <v>16</v>
      </c>
      <c r="B80" s="54" t="s">
        <v>15</v>
      </c>
      <c r="C80" s="55">
        <f t="shared" ref="C80:N95" si="15">C7+C32+C56</f>
        <v>14463762</v>
      </c>
      <c r="D80" s="55">
        <f t="shared" si="15"/>
        <v>361977</v>
      </c>
      <c r="E80" s="55">
        <f t="shared" si="15"/>
        <v>1894804</v>
      </c>
      <c r="F80" s="55">
        <f t="shared" si="15"/>
        <v>0</v>
      </c>
      <c r="G80" s="55">
        <f>D80+E80+F80</f>
        <v>2256781</v>
      </c>
      <c r="H80" s="63">
        <f t="shared" si="15"/>
        <v>1526321</v>
      </c>
      <c r="I80" s="63">
        <f t="shared" si="15"/>
        <v>7989677</v>
      </c>
      <c r="J80" s="63">
        <f t="shared" si="15"/>
        <v>0</v>
      </c>
      <c r="K80" s="63">
        <f>H80+I80+J80</f>
        <v>9515998</v>
      </c>
      <c r="L80" s="63">
        <f t="shared" si="15"/>
        <v>431621</v>
      </c>
      <c r="M80" s="63">
        <f t="shared" si="15"/>
        <v>2259362</v>
      </c>
      <c r="N80" s="63">
        <f t="shared" si="15"/>
        <v>0</v>
      </c>
      <c r="O80" s="63">
        <f>L80+M80+N80</f>
        <v>2690983</v>
      </c>
      <c r="R80" s="62">
        <f>G80+K80+O80</f>
        <v>14463762</v>
      </c>
      <c r="S80" s="62"/>
      <c r="V80" s="61"/>
      <c r="W80" s="61"/>
      <c r="X80" s="61"/>
      <c r="Y80" s="61"/>
      <c r="Z80" s="61"/>
      <c r="AC80" s="95"/>
      <c r="AD80" s="95"/>
      <c r="AE80" s="95"/>
      <c r="AF80" s="95"/>
      <c r="AG80" s="94"/>
      <c r="AH80" s="95"/>
    </row>
    <row r="81" spans="1:19" customFormat="1" ht="30" hidden="1" x14ac:dyDescent="0.25">
      <c r="A81" s="56" t="s">
        <v>24</v>
      </c>
      <c r="B81" s="54" t="s">
        <v>14</v>
      </c>
      <c r="C81" s="55">
        <f t="shared" si="15"/>
        <v>911606</v>
      </c>
      <c r="D81" s="55">
        <f t="shared" si="15"/>
        <v>105759</v>
      </c>
      <c r="E81" s="55">
        <f t="shared" si="15"/>
        <v>80576</v>
      </c>
      <c r="F81" s="55">
        <f t="shared" si="15"/>
        <v>2568</v>
      </c>
      <c r="G81" s="55">
        <f t="shared" ref="G81:G97" si="16">D81+E81+F81</f>
        <v>188903</v>
      </c>
      <c r="H81" s="63">
        <f t="shared" si="15"/>
        <v>310805</v>
      </c>
      <c r="I81" s="63">
        <f t="shared" si="15"/>
        <v>236796</v>
      </c>
      <c r="J81" s="63">
        <f t="shared" si="15"/>
        <v>7548</v>
      </c>
      <c r="K81" s="63">
        <f t="shared" ref="K81:K97" si="17">H81+I81+J81</f>
        <v>555149</v>
      </c>
      <c r="L81" s="63">
        <f t="shared" si="15"/>
        <v>93806</v>
      </c>
      <c r="M81" s="63">
        <f t="shared" si="15"/>
        <v>71470</v>
      </c>
      <c r="N81" s="63">
        <f t="shared" si="15"/>
        <v>2278</v>
      </c>
      <c r="O81" s="63">
        <f t="shared" ref="O81:O97" si="18">L81+M81+N81</f>
        <v>167554</v>
      </c>
      <c r="R81" s="62">
        <f t="shared" ref="R81:R98" si="19">G81+K81+O81</f>
        <v>911606</v>
      </c>
      <c r="S81" s="62"/>
    </row>
    <row r="82" spans="1:19" customFormat="1" ht="30" hidden="1" x14ac:dyDescent="0.25">
      <c r="A82" s="56" t="s">
        <v>23</v>
      </c>
      <c r="B82" s="54" t="s">
        <v>13</v>
      </c>
      <c r="C82" s="55">
        <f t="shared" si="15"/>
        <v>5741475</v>
      </c>
      <c r="D82" s="55">
        <f t="shared" si="15"/>
        <v>0</v>
      </c>
      <c r="E82" s="55">
        <f t="shared" si="15"/>
        <v>325427</v>
      </c>
      <c r="F82" s="55">
        <f t="shared" si="15"/>
        <v>0</v>
      </c>
      <c r="G82" s="55">
        <f t="shared" si="16"/>
        <v>325427</v>
      </c>
      <c r="H82" s="63">
        <f t="shared" si="15"/>
        <v>0</v>
      </c>
      <c r="I82" s="63">
        <f t="shared" si="15"/>
        <v>4823700</v>
      </c>
      <c r="J82" s="63">
        <f t="shared" si="15"/>
        <v>0</v>
      </c>
      <c r="K82" s="63">
        <f t="shared" si="17"/>
        <v>4823700</v>
      </c>
      <c r="L82" s="63">
        <f t="shared" si="15"/>
        <v>0</v>
      </c>
      <c r="M82" s="63">
        <f t="shared" si="15"/>
        <v>592348</v>
      </c>
      <c r="N82" s="63">
        <f t="shared" si="15"/>
        <v>0</v>
      </c>
      <c r="O82" s="63">
        <f t="shared" si="18"/>
        <v>592348</v>
      </c>
      <c r="R82" s="62">
        <f t="shared" si="19"/>
        <v>5741475</v>
      </c>
      <c r="S82" s="62"/>
    </row>
    <row r="83" spans="1:19" customFormat="1" ht="30" hidden="1" x14ac:dyDescent="0.25">
      <c r="A83" s="56" t="s">
        <v>22</v>
      </c>
      <c r="B83" s="54" t="s">
        <v>12</v>
      </c>
      <c r="C83" s="55">
        <f t="shared" si="15"/>
        <v>541588</v>
      </c>
      <c r="D83" s="55">
        <f t="shared" si="15"/>
        <v>62299</v>
      </c>
      <c r="E83" s="55">
        <f t="shared" si="15"/>
        <v>0</v>
      </c>
      <c r="F83" s="55">
        <f t="shared" si="15"/>
        <v>0</v>
      </c>
      <c r="G83" s="55">
        <f t="shared" si="16"/>
        <v>62299</v>
      </c>
      <c r="H83" s="63">
        <f t="shared" si="15"/>
        <v>405172</v>
      </c>
      <c r="I83" s="63">
        <f t="shared" si="15"/>
        <v>0</v>
      </c>
      <c r="J83" s="63">
        <f t="shared" si="15"/>
        <v>0</v>
      </c>
      <c r="K83" s="63">
        <f t="shared" si="17"/>
        <v>405172</v>
      </c>
      <c r="L83" s="63">
        <f t="shared" si="15"/>
        <v>74117</v>
      </c>
      <c r="M83" s="63">
        <f t="shared" si="15"/>
        <v>0</v>
      </c>
      <c r="N83" s="63">
        <f t="shared" si="15"/>
        <v>0</v>
      </c>
      <c r="O83" s="63">
        <f t="shared" si="18"/>
        <v>74117</v>
      </c>
      <c r="R83" s="62">
        <f t="shared" si="19"/>
        <v>541588</v>
      </c>
      <c r="S83" s="62"/>
    </row>
    <row r="84" spans="1:19" customFormat="1" ht="30" hidden="1" x14ac:dyDescent="0.25">
      <c r="A84" s="56" t="s">
        <v>21</v>
      </c>
      <c r="B84" s="54" t="s">
        <v>11</v>
      </c>
      <c r="C84" s="55">
        <f t="shared" si="15"/>
        <v>491901</v>
      </c>
      <c r="D84" s="55">
        <f t="shared" si="15"/>
        <v>19190</v>
      </c>
      <c r="E84" s="55">
        <f t="shared" si="15"/>
        <v>30492</v>
      </c>
      <c r="F84" s="55">
        <f t="shared" si="15"/>
        <v>13208</v>
      </c>
      <c r="G84" s="55">
        <f t="shared" si="16"/>
        <v>62890</v>
      </c>
      <c r="H84" s="63">
        <f t="shared" si="15"/>
        <v>101797</v>
      </c>
      <c r="I84" s="63">
        <f t="shared" si="15"/>
        <v>161749</v>
      </c>
      <c r="J84" s="63">
        <f t="shared" si="15"/>
        <v>70066</v>
      </c>
      <c r="K84" s="63">
        <f t="shared" si="17"/>
        <v>333612</v>
      </c>
      <c r="L84" s="63">
        <f t="shared" si="15"/>
        <v>29110</v>
      </c>
      <c r="M84" s="63">
        <f t="shared" si="15"/>
        <v>46253</v>
      </c>
      <c r="N84" s="63">
        <f t="shared" si="15"/>
        <v>20036</v>
      </c>
      <c r="O84" s="63">
        <f t="shared" si="18"/>
        <v>95399</v>
      </c>
      <c r="R84" s="62">
        <f t="shared" si="19"/>
        <v>491901</v>
      </c>
      <c r="S84" s="62"/>
    </row>
    <row r="85" spans="1:19" customFormat="1" hidden="1" x14ac:dyDescent="0.25">
      <c r="A85" s="56" t="s">
        <v>20</v>
      </c>
      <c r="B85" s="54" t="s">
        <v>34</v>
      </c>
      <c r="C85" s="55">
        <f t="shared" si="15"/>
        <v>960135</v>
      </c>
      <c r="D85" s="55">
        <f t="shared" si="15"/>
        <v>179717</v>
      </c>
      <c r="E85" s="55">
        <f t="shared" si="15"/>
        <v>0</v>
      </c>
      <c r="F85" s="55">
        <f t="shared" si="15"/>
        <v>0</v>
      </c>
      <c r="G85" s="55">
        <f t="shared" si="16"/>
        <v>179717</v>
      </c>
      <c r="H85" s="63">
        <f t="shared" si="15"/>
        <v>586615</v>
      </c>
      <c r="I85" s="63">
        <f t="shared" si="15"/>
        <v>0</v>
      </c>
      <c r="J85" s="63">
        <f t="shared" si="15"/>
        <v>0</v>
      </c>
      <c r="K85" s="63">
        <f t="shared" si="17"/>
        <v>586615</v>
      </c>
      <c r="L85" s="63">
        <f t="shared" si="15"/>
        <v>193803</v>
      </c>
      <c r="M85" s="63">
        <f t="shared" si="15"/>
        <v>0</v>
      </c>
      <c r="N85" s="63">
        <f t="shared" si="15"/>
        <v>0</v>
      </c>
      <c r="O85" s="63">
        <f t="shared" si="18"/>
        <v>193803</v>
      </c>
      <c r="R85" s="62">
        <f t="shared" si="19"/>
        <v>960135</v>
      </c>
      <c r="S85" s="62"/>
    </row>
    <row r="86" spans="1:19" customFormat="1" ht="30" hidden="1" x14ac:dyDescent="0.25">
      <c r="A86" s="56" t="s">
        <v>19</v>
      </c>
      <c r="B86" s="54" t="s">
        <v>10</v>
      </c>
      <c r="C86" s="55">
        <f t="shared" si="15"/>
        <v>3404848</v>
      </c>
      <c r="D86" s="55">
        <f t="shared" si="15"/>
        <v>73961</v>
      </c>
      <c r="E86" s="55">
        <f t="shared" si="15"/>
        <v>96737</v>
      </c>
      <c r="F86" s="55">
        <f t="shared" si="15"/>
        <v>4549</v>
      </c>
      <c r="G86" s="55">
        <f t="shared" si="16"/>
        <v>175247</v>
      </c>
      <c r="H86" s="63">
        <f t="shared" si="15"/>
        <v>1150329</v>
      </c>
      <c r="I86" s="63">
        <f t="shared" si="15"/>
        <v>1504580</v>
      </c>
      <c r="J86" s="63">
        <f t="shared" si="15"/>
        <v>70739</v>
      </c>
      <c r="K86" s="63">
        <f t="shared" si="17"/>
        <v>2725648</v>
      </c>
      <c r="L86" s="63">
        <f t="shared" si="15"/>
        <v>212688</v>
      </c>
      <c r="M86" s="63">
        <f t="shared" si="15"/>
        <v>278186</v>
      </c>
      <c r="N86" s="63">
        <f t="shared" si="15"/>
        <v>13079</v>
      </c>
      <c r="O86" s="63">
        <f t="shared" si="18"/>
        <v>503953</v>
      </c>
      <c r="R86" s="62">
        <f t="shared" si="19"/>
        <v>3404848</v>
      </c>
      <c r="S86" s="62"/>
    </row>
    <row r="87" spans="1:19" customFormat="1" hidden="1" x14ac:dyDescent="0.25">
      <c r="A87" s="56" t="s">
        <v>18</v>
      </c>
      <c r="B87" s="54" t="s">
        <v>9</v>
      </c>
      <c r="C87" s="55">
        <f t="shared" si="15"/>
        <v>2774662</v>
      </c>
      <c r="D87" s="55">
        <f t="shared" si="15"/>
        <v>257350</v>
      </c>
      <c r="E87" s="55">
        <f t="shared" si="15"/>
        <v>399877</v>
      </c>
      <c r="F87" s="55">
        <f t="shared" si="15"/>
        <v>11079</v>
      </c>
      <c r="G87" s="55">
        <f t="shared" si="16"/>
        <v>668306</v>
      </c>
      <c r="H87" s="63">
        <f t="shared" si="15"/>
        <v>804123</v>
      </c>
      <c r="I87" s="63">
        <f t="shared" si="15"/>
        <v>1249469</v>
      </c>
      <c r="J87" s="63">
        <f t="shared" si="15"/>
        <v>34618</v>
      </c>
      <c r="K87" s="63">
        <f t="shared" si="17"/>
        <v>2088210</v>
      </c>
      <c r="L87" s="63">
        <f t="shared" si="15"/>
        <v>6987</v>
      </c>
      <c r="M87" s="63">
        <f t="shared" si="15"/>
        <v>10858</v>
      </c>
      <c r="N87" s="63">
        <f t="shared" si="15"/>
        <v>301</v>
      </c>
      <c r="O87" s="63">
        <f t="shared" si="18"/>
        <v>18146</v>
      </c>
      <c r="R87" s="62">
        <f t="shared" si="19"/>
        <v>2774662</v>
      </c>
      <c r="S87" s="62"/>
    </row>
    <row r="88" spans="1:19" customFormat="1" hidden="1" x14ac:dyDescent="0.25">
      <c r="A88" s="56" t="s">
        <v>25</v>
      </c>
      <c r="B88" s="54" t="s">
        <v>8</v>
      </c>
      <c r="C88" s="55">
        <f t="shared" si="15"/>
        <v>4632132</v>
      </c>
      <c r="D88" s="55">
        <f t="shared" si="15"/>
        <v>35873</v>
      </c>
      <c r="E88" s="55">
        <f t="shared" si="15"/>
        <v>147097</v>
      </c>
      <c r="F88" s="55">
        <f t="shared" si="15"/>
        <v>0</v>
      </c>
      <c r="G88" s="55">
        <f t="shared" si="16"/>
        <v>182970</v>
      </c>
      <c r="H88" s="63">
        <f t="shared" si="15"/>
        <v>582212</v>
      </c>
      <c r="I88" s="63">
        <f t="shared" si="15"/>
        <v>2387354</v>
      </c>
      <c r="J88" s="63">
        <f t="shared" si="15"/>
        <v>0</v>
      </c>
      <c r="K88" s="63">
        <f t="shared" si="17"/>
        <v>2969566</v>
      </c>
      <c r="L88" s="63">
        <f t="shared" si="15"/>
        <v>290089</v>
      </c>
      <c r="M88" s="63">
        <f t="shared" si="15"/>
        <v>1189507</v>
      </c>
      <c r="N88" s="63">
        <f t="shared" si="15"/>
        <v>0</v>
      </c>
      <c r="O88" s="63">
        <f t="shared" si="18"/>
        <v>1479596</v>
      </c>
      <c r="R88" s="62">
        <f t="shared" si="19"/>
        <v>4632132</v>
      </c>
      <c r="S88" s="62"/>
    </row>
    <row r="89" spans="1:19" customFormat="1" hidden="1" x14ac:dyDescent="0.25">
      <c r="A89" s="56" t="s">
        <v>26</v>
      </c>
      <c r="B89" s="54" t="s">
        <v>7</v>
      </c>
      <c r="C89" s="55">
        <f t="shared" si="15"/>
        <v>2932532</v>
      </c>
      <c r="D89" s="55">
        <f t="shared" si="15"/>
        <v>6362</v>
      </c>
      <c r="E89" s="55">
        <f t="shared" si="15"/>
        <v>47215</v>
      </c>
      <c r="F89" s="55">
        <f t="shared" si="15"/>
        <v>0</v>
      </c>
      <c r="G89" s="55">
        <f t="shared" si="16"/>
        <v>53577</v>
      </c>
      <c r="H89" s="63">
        <f t="shared" si="15"/>
        <v>310826</v>
      </c>
      <c r="I89" s="63">
        <f t="shared" si="15"/>
        <v>2306694</v>
      </c>
      <c r="J89" s="63">
        <f t="shared" si="15"/>
        <v>0</v>
      </c>
      <c r="K89" s="63">
        <f t="shared" si="17"/>
        <v>2617520</v>
      </c>
      <c r="L89" s="63">
        <f t="shared" si="15"/>
        <v>31045</v>
      </c>
      <c r="M89" s="63">
        <f t="shared" si="15"/>
        <v>230390</v>
      </c>
      <c r="N89" s="63">
        <f t="shared" si="15"/>
        <v>0</v>
      </c>
      <c r="O89" s="63">
        <f t="shared" si="18"/>
        <v>261435</v>
      </c>
      <c r="R89" s="62">
        <f t="shared" si="19"/>
        <v>2932532</v>
      </c>
      <c r="S89" s="62"/>
    </row>
    <row r="90" spans="1:19" customFormat="1" hidden="1" x14ac:dyDescent="0.25">
      <c r="A90" s="56" t="s">
        <v>27</v>
      </c>
      <c r="B90" s="54" t="s">
        <v>6</v>
      </c>
      <c r="C90" s="55">
        <f t="shared" si="15"/>
        <v>2027143</v>
      </c>
      <c r="D90" s="55">
        <f t="shared" si="15"/>
        <v>8365</v>
      </c>
      <c r="E90" s="55">
        <f t="shared" si="15"/>
        <v>5537</v>
      </c>
      <c r="F90" s="55">
        <f t="shared" si="15"/>
        <v>226</v>
      </c>
      <c r="G90" s="55">
        <f t="shared" si="16"/>
        <v>14128</v>
      </c>
      <c r="H90" s="63">
        <f t="shared" si="15"/>
        <v>1190010</v>
      </c>
      <c r="I90" s="63">
        <f t="shared" si="15"/>
        <v>787817</v>
      </c>
      <c r="J90" s="63">
        <f t="shared" si="15"/>
        <v>32148</v>
      </c>
      <c r="K90" s="63">
        <f t="shared" si="17"/>
        <v>2009975</v>
      </c>
      <c r="L90" s="63">
        <f t="shared" si="15"/>
        <v>1800</v>
      </c>
      <c r="M90" s="63">
        <f t="shared" si="15"/>
        <v>1192</v>
      </c>
      <c r="N90" s="63">
        <f t="shared" si="15"/>
        <v>48</v>
      </c>
      <c r="O90" s="63">
        <f t="shared" si="18"/>
        <v>3040</v>
      </c>
      <c r="R90" s="62">
        <f t="shared" si="19"/>
        <v>2027143</v>
      </c>
      <c r="S90" s="62"/>
    </row>
    <row r="91" spans="1:19" customFormat="1" hidden="1" x14ac:dyDescent="0.25">
      <c r="A91" s="56" t="s">
        <v>28</v>
      </c>
      <c r="B91" s="54" t="s">
        <v>5</v>
      </c>
      <c r="C91" s="55">
        <f t="shared" si="15"/>
        <v>2470768</v>
      </c>
      <c r="D91" s="55">
        <f t="shared" si="15"/>
        <v>83667</v>
      </c>
      <c r="E91" s="55">
        <f t="shared" si="15"/>
        <v>242780</v>
      </c>
      <c r="F91" s="55">
        <f t="shared" si="15"/>
        <v>15384</v>
      </c>
      <c r="G91" s="55">
        <f t="shared" si="16"/>
        <v>341831</v>
      </c>
      <c r="H91" s="63">
        <f t="shared" si="15"/>
        <v>516007</v>
      </c>
      <c r="I91" s="63">
        <f t="shared" si="15"/>
        <v>1497319</v>
      </c>
      <c r="J91" s="63">
        <f t="shared" si="15"/>
        <v>94881</v>
      </c>
      <c r="K91" s="63">
        <f t="shared" si="17"/>
        <v>2108207</v>
      </c>
      <c r="L91" s="63">
        <f t="shared" si="15"/>
        <v>5074</v>
      </c>
      <c r="M91" s="63">
        <f t="shared" si="15"/>
        <v>14723</v>
      </c>
      <c r="N91" s="63">
        <f t="shared" si="15"/>
        <v>933</v>
      </c>
      <c r="O91" s="63">
        <f t="shared" si="18"/>
        <v>20730</v>
      </c>
      <c r="R91" s="62">
        <f t="shared" si="19"/>
        <v>2470768</v>
      </c>
      <c r="S91" s="62"/>
    </row>
    <row r="92" spans="1:19" customFormat="1" hidden="1" x14ac:dyDescent="0.25">
      <c r="A92" s="56" t="s">
        <v>29</v>
      </c>
      <c r="B92" s="54" t="s">
        <v>4</v>
      </c>
      <c r="C92" s="55">
        <f t="shared" si="15"/>
        <v>1995823</v>
      </c>
      <c r="D92" s="55">
        <f t="shared" si="15"/>
        <v>38702</v>
      </c>
      <c r="E92" s="55">
        <f t="shared" si="15"/>
        <v>65208</v>
      </c>
      <c r="F92" s="55">
        <f t="shared" si="15"/>
        <v>2708</v>
      </c>
      <c r="G92" s="55">
        <f t="shared" si="16"/>
        <v>106618</v>
      </c>
      <c r="H92" s="63">
        <f t="shared" si="15"/>
        <v>663127</v>
      </c>
      <c r="I92" s="63">
        <f t="shared" si="15"/>
        <v>1117268</v>
      </c>
      <c r="J92" s="63">
        <f t="shared" si="15"/>
        <v>46400</v>
      </c>
      <c r="K92" s="63">
        <f t="shared" si="17"/>
        <v>1826795</v>
      </c>
      <c r="L92" s="63">
        <f t="shared" si="15"/>
        <v>22655</v>
      </c>
      <c r="M92" s="63">
        <f t="shared" si="15"/>
        <v>38169</v>
      </c>
      <c r="N92" s="63">
        <f t="shared" si="15"/>
        <v>1586</v>
      </c>
      <c r="O92" s="63">
        <f t="shared" si="18"/>
        <v>62410</v>
      </c>
      <c r="R92" s="62">
        <f t="shared" si="19"/>
        <v>1995823</v>
      </c>
      <c r="S92" s="62"/>
    </row>
    <row r="93" spans="1:19" customFormat="1" hidden="1" x14ac:dyDescent="0.25">
      <c r="A93" s="56">
        <v>14</v>
      </c>
      <c r="B93" s="54" t="s">
        <v>3</v>
      </c>
      <c r="C93" s="55">
        <f t="shared" si="15"/>
        <v>2741193</v>
      </c>
      <c r="D93" s="55">
        <f t="shared" si="15"/>
        <v>131388</v>
      </c>
      <c r="E93" s="55">
        <f t="shared" si="15"/>
        <v>64683</v>
      </c>
      <c r="F93" s="55">
        <f t="shared" si="15"/>
        <v>6065</v>
      </c>
      <c r="G93" s="55">
        <f t="shared" si="16"/>
        <v>202136</v>
      </c>
      <c r="H93" s="63">
        <f t="shared" si="15"/>
        <v>1468005</v>
      </c>
      <c r="I93" s="63">
        <f t="shared" si="15"/>
        <v>722709</v>
      </c>
      <c r="J93" s="63">
        <f t="shared" si="15"/>
        <v>67755</v>
      </c>
      <c r="K93" s="63">
        <f t="shared" si="17"/>
        <v>2258469</v>
      </c>
      <c r="L93" s="63">
        <f t="shared" si="15"/>
        <v>182382</v>
      </c>
      <c r="M93" s="63">
        <f t="shared" si="15"/>
        <v>89788</v>
      </c>
      <c r="N93" s="63">
        <f t="shared" si="15"/>
        <v>8418</v>
      </c>
      <c r="O93" s="63">
        <f t="shared" si="18"/>
        <v>280588</v>
      </c>
      <c r="R93" s="62">
        <f t="shared" si="19"/>
        <v>2741193</v>
      </c>
      <c r="S93" s="62"/>
    </row>
    <row r="94" spans="1:19" customFormat="1" ht="45" hidden="1" x14ac:dyDescent="0.25">
      <c r="A94" s="56" t="s">
        <v>30</v>
      </c>
      <c r="B94" s="54" t="s">
        <v>2</v>
      </c>
      <c r="C94" s="55">
        <f t="shared" si="15"/>
        <v>340043</v>
      </c>
      <c r="D94" s="55">
        <f t="shared" si="15"/>
        <v>9630</v>
      </c>
      <c r="E94" s="55">
        <f t="shared" si="15"/>
        <v>0</v>
      </c>
      <c r="F94" s="55">
        <f t="shared" si="15"/>
        <v>0</v>
      </c>
      <c r="G94" s="55">
        <f t="shared" si="16"/>
        <v>9630</v>
      </c>
      <c r="H94" s="63">
        <f t="shared" si="15"/>
        <v>284675</v>
      </c>
      <c r="I94" s="63">
        <f t="shared" si="15"/>
        <v>0</v>
      </c>
      <c r="J94" s="63">
        <f t="shared" si="15"/>
        <v>0</v>
      </c>
      <c r="K94" s="63">
        <f t="shared" si="17"/>
        <v>284675</v>
      </c>
      <c r="L94" s="63">
        <f t="shared" si="15"/>
        <v>45738</v>
      </c>
      <c r="M94" s="63">
        <f t="shared" si="15"/>
        <v>0</v>
      </c>
      <c r="N94" s="63">
        <f t="shared" si="15"/>
        <v>0</v>
      </c>
      <c r="O94" s="63">
        <f t="shared" si="18"/>
        <v>45738</v>
      </c>
      <c r="R94" s="62">
        <f t="shared" si="19"/>
        <v>340043</v>
      </c>
      <c r="S94" s="62"/>
    </row>
    <row r="95" spans="1:19" customFormat="1" ht="30" hidden="1" x14ac:dyDescent="0.25">
      <c r="A95" s="56" t="s">
        <v>31</v>
      </c>
      <c r="B95" s="54" t="s">
        <v>1</v>
      </c>
      <c r="C95" s="55">
        <f t="shared" si="15"/>
        <v>256758</v>
      </c>
      <c r="D95" s="55">
        <f t="shared" si="15"/>
        <v>19097</v>
      </c>
      <c r="E95" s="55">
        <f t="shared" si="15"/>
        <v>0</v>
      </c>
      <c r="F95" s="55">
        <f t="shared" si="15"/>
        <v>0</v>
      </c>
      <c r="G95" s="55">
        <f t="shared" si="16"/>
        <v>19097</v>
      </c>
      <c r="H95" s="63">
        <f t="shared" si="15"/>
        <v>227303</v>
      </c>
      <c r="I95" s="63">
        <f t="shared" si="15"/>
        <v>0</v>
      </c>
      <c r="J95" s="63">
        <f t="shared" si="15"/>
        <v>0</v>
      </c>
      <c r="K95" s="63">
        <f t="shared" si="17"/>
        <v>227303</v>
      </c>
      <c r="L95" s="63">
        <f t="shared" si="15"/>
        <v>10358</v>
      </c>
      <c r="M95" s="63">
        <f t="shared" si="15"/>
        <v>0</v>
      </c>
      <c r="N95" s="63">
        <f t="shared" si="15"/>
        <v>0</v>
      </c>
      <c r="O95" s="63">
        <f t="shared" si="18"/>
        <v>10358</v>
      </c>
      <c r="R95" s="62">
        <f t="shared" si="19"/>
        <v>256758</v>
      </c>
      <c r="S95" s="62"/>
    </row>
    <row r="96" spans="1:19" customFormat="1" hidden="1" x14ac:dyDescent="0.25">
      <c r="A96" s="56" t="s">
        <v>32</v>
      </c>
      <c r="B96" s="54" t="s">
        <v>73</v>
      </c>
      <c r="C96" s="55">
        <f t="shared" ref="C96:F97" si="20">C23+C48+C72</f>
        <v>518509</v>
      </c>
      <c r="D96" s="55">
        <f t="shared" si="20"/>
        <v>101984</v>
      </c>
      <c r="E96" s="55">
        <f t="shared" si="20"/>
        <v>0</v>
      </c>
      <c r="F96" s="55">
        <f t="shared" si="20"/>
        <v>0</v>
      </c>
      <c r="G96" s="55">
        <f t="shared" si="16"/>
        <v>101984</v>
      </c>
      <c r="H96" s="63">
        <f t="shared" ref="H96:J97" si="21">H23+H48+H72</f>
        <v>333848</v>
      </c>
      <c r="I96" s="63">
        <f t="shared" si="21"/>
        <v>0</v>
      </c>
      <c r="J96" s="63">
        <f t="shared" si="21"/>
        <v>0</v>
      </c>
      <c r="K96" s="63">
        <f t="shared" si="17"/>
        <v>333848</v>
      </c>
      <c r="L96" s="63">
        <f t="shared" ref="L96:N97" si="22">L23+L48+L72</f>
        <v>82677</v>
      </c>
      <c r="M96" s="63">
        <f t="shared" si="22"/>
        <v>0</v>
      </c>
      <c r="N96" s="63">
        <f t="shared" si="22"/>
        <v>0</v>
      </c>
      <c r="O96" s="63">
        <f t="shared" si="18"/>
        <v>82677</v>
      </c>
      <c r="R96" s="62">
        <f t="shared" si="19"/>
        <v>518509</v>
      </c>
      <c r="S96" s="62"/>
    </row>
    <row r="97" spans="1:34" ht="33" hidden="1" customHeight="1" x14ac:dyDescent="0.25">
      <c r="A97" s="56" t="s">
        <v>90</v>
      </c>
      <c r="B97" s="70" t="s">
        <v>91</v>
      </c>
      <c r="C97" s="55">
        <f>E97+I97+M97</f>
        <v>184985</v>
      </c>
      <c r="D97" s="55">
        <f t="shared" si="20"/>
        <v>0</v>
      </c>
      <c r="E97" s="55">
        <f>E24+E49+E73</f>
        <v>31304</v>
      </c>
      <c r="F97" s="55">
        <f t="shared" si="20"/>
        <v>0</v>
      </c>
      <c r="G97" s="55">
        <f t="shared" si="16"/>
        <v>31304</v>
      </c>
      <c r="H97" s="63">
        <f t="shared" si="21"/>
        <v>0</v>
      </c>
      <c r="I97" s="63">
        <f t="shared" si="21"/>
        <v>102921</v>
      </c>
      <c r="J97" s="63">
        <f t="shared" si="21"/>
        <v>0</v>
      </c>
      <c r="K97" s="63">
        <f t="shared" si="17"/>
        <v>102921</v>
      </c>
      <c r="L97" s="63">
        <f t="shared" si="22"/>
        <v>0</v>
      </c>
      <c r="M97" s="63">
        <f t="shared" si="22"/>
        <v>50760</v>
      </c>
      <c r="N97" s="63">
        <f t="shared" si="22"/>
        <v>0</v>
      </c>
      <c r="O97" s="63">
        <f t="shared" si="18"/>
        <v>50760</v>
      </c>
      <c r="R97" s="62">
        <f t="shared" si="19"/>
        <v>184985</v>
      </c>
      <c r="S97" s="62"/>
    </row>
    <row r="98" spans="1:34" ht="25.5" hidden="1" customHeight="1" x14ac:dyDescent="0.25">
      <c r="A98" s="57"/>
      <c r="B98" s="57" t="s">
        <v>0</v>
      </c>
      <c r="C98" s="58">
        <f>SUM(C80:C97)</f>
        <v>47389863</v>
      </c>
      <c r="D98" s="58">
        <f t="shared" ref="D98:O98" si="23">SUM(D80:D97)</f>
        <v>1495321</v>
      </c>
      <c r="E98" s="58">
        <f t="shared" si="23"/>
        <v>3431737</v>
      </c>
      <c r="F98" s="58">
        <f t="shared" si="23"/>
        <v>55787</v>
      </c>
      <c r="G98" s="58">
        <f t="shared" si="23"/>
        <v>4982845</v>
      </c>
      <c r="H98" s="58">
        <f t="shared" si="23"/>
        <v>10461175</v>
      </c>
      <c r="I98" s="58">
        <f t="shared" si="23"/>
        <v>24888053</v>
      </c>
      <c r="J98" s="58">
        <f t="shared" si="23"/>
        <v>424155</v>
      </c>
      <c r="K98" s="58">
        <f t="shared" si="23"/>
        <v>35773383</v>
      </c>
      <c r="L98" s="58">
        <f t="shared" si="23"/>
        <v>1713950</v>
      </c>
      <c r="M98" s="58">
        <f t="shared" si="23"/>
        <v>4873006</v>
      </c>
      <c r="N98" s="58">
        <f t="shared" si="23"/>
        <v>46679</v>
      </c>
      <c r="O98" s="58">
        <f t="shared" si="23"/>
        <v>6633635</v>
      </c>
      <c r="R98" s="62">
        <f t="shared" si="19"/>
        <v>47389863</v>
      </c>
      <c r="S98" s="62"/>
    </row>
    <row r="99" spans="1:34" hidden="1" x14ac:dyDescent="0.25"/>
    <row r="100" spans="1:34" s="4" customFormat="1" ht="28.5" hidden="1" customHeight="1" x14ac:dyDescent="0.25">
      <c r="A100" s="152" t="s">
        <v>17</v>
      </c>
      <c r="B100" s="152" t="s">
        <v>33</v>
      </c>
      <c r="C100" s="152" t="s">
        <v>77</v>
      </c>
      <c r="D100" s="152" t="s">
        <v>69</v>
      </c>
      <c r="E100" s="152"/>
      <c r="F100" s="152"/>
      <c r="G100" s="152"/>
      <c r="H100" s="152"/>
      <c r="I100" s="152"/>
      <c r="J100" s="152"/>
      <c r="K100" s="152"/>
      <c r="L100" s="152"/>
      <c r="M100" s="152"/>
      <c r="N100" s="152"/>
      <c r="O100" s="152"/>
      <c r="R100" s="61"/>
      <c r="S100" s="61"/>
      <c r="V100" s="61"/>
      <c r="W100" s="61"/>
      <c r="X100" s="61"/>
      <c r="Y100" s="61"/>
      <c r="Z100" s="61"/>
      <c r="AC100" s="95"/>
      <c r="AD100" s="95"/>
      <c r="AE100" s="95"/>
      <c r="AF100" s="95"/>
      <c r="AG100" s="93"/>
      <c r="AH100" s="95"/>
    </row>
    <row r="101" spans="1:34" s="4" customFormat="1" ht="41.25" hidden="1" customHeight="1" x14ac:dyDescent="0.25">
      <c r="A101" s="152"/>
      <c r="B101" s="152"/>
      <c r="C101" s="152"/>
      <c r="D101" s="154" t="s">
        <v>36</v>
      </c>
      <c r="E101" s="154"/>
      <c r="F101" s="154"/>
      <c r="G101" s="154"/>
      <c r="H101" s="155" t="s">
        <v>37</v>
      </c>
      <c r="I101" s="156"/>
      <c r="J101" s="156"/>
      <c r="K101" s="157"/>
      <c r="L101" s="155" t="s">
        <v>38</v>
      </c>
      <c r="M101" s="156"/>
      <c r="N101" s="156"/>
      <c r="O101" s="157"/>
      <c r="R101" s="61"/>
      <c r="S101" s="61"/>
      <c r="V101" s="61"/>
      <c r="W101" s="61"/>
      <c r="X101" s="61"/>
      <c r="Y101" s="61"/>
      <c r="Z101" s="61"/>
      <c r="AC101" s="95"/>
      <c r="AD101" s="95"/>
      <c r="AE101" s="95"/>
      <c r="AF101" s="95"/>
      <c r="AG101" s="93"/>
      <c r="AH101" s="95"/>
    </row>
    <row r="102" spans="1:34" s="4" customFormat="1" ht="59.25" hidden="1" customHeight="1" x14ac:dyDescent="0.25">
      <c r="A102" s="152"/>
      <c r="B102" s="152"/>
      <c r="C102" s="152"/>
      <c r="D102" s="109" t="s">
        <v>66</v>
      </c>
      <c r="E102" s="109" t="s">
        <v>67</v>
      </c>
      <c r="F102" s="109" t="s">
        <v>68</v>
      </c>
      <c r="G102" s="109" t="s">
        <v>70</v>
      </c>
      <c r="H102" s="65" t="s">
        <v>66</v>
      </c>
      <c r="I102" s="65" t="s">
        <v>67</v>
      </c>
      <c r="J102" s="65" t="s">
        <v>68</v>
      </c>
      <c r="K102" s="65" t="s">
        <v>71</v>
      </c>
      <c r="L102" s="65" t="s">
        <v>66</v>
      </c>
      <c r="M102" s="65" t="s">
        <v>67</v>
      </c>
      <c r="N102" s="65" t="s">
        <v>68</v>
      </c>
      <c r="O102" s="65" t="s">
        <v>72</v>
      </c>
      <c r="R102" s="61"/>
      <c r="S102" s="61"/>
      <c r="V102" s="61"/>
      <c r="W102" s="61"/>
      <c r="X102" s="61"/>
      <c r="Y102" s="61"/>
      <c r="Z102" s="61"/>
      <c r="AC102" s="95"/>
      <c r="AD102" s="95"/>
      <c r="AE102" s="95"/>
      <c r="AF102" s="95"/>
      <c r="AG102" s="93"/>
      <c r="AH102" s="95"/>
    </row>
    <row r="103" spans="1:34" s="3" customFormat="1" ht="14.25" hidden="1" customHeight="1" x14ac:dyDescent="0.25">
      <c r="A103" s="53">
        <v>1</v>
      </c>
      <c r="B103" s="53">
        <v>2</v>
      </c>
      <c r="C103" s="53">
        <v>3</v>
      </c>
      <c r="D103" s="53">
        <v>4</v>
      </c>
      <c r="E103" s="53">
        <v>5</v>
      </c>
      <c r="F103" s="53">
        <v>6</v>
      </c>
      <c r="G103" s="53">
        <v>7</v>
      </c>
      <c r="H103" s="66">
        <v>8</v>
      </c>
      <c r="I103" s="66">
        <v>9</v>
      </c>
      <c r="J103" s="66">
        <v>10</v>
      </c>
      <c r="K103" s="66">
        <v>11</v>
      </c>
      <c r="L103" s="66">
        <v>12</v>
      </c>
      <c r="M103" s="66">
        <v>13</v>
      </c>
      <c r="N103" s="66">
        <v>14</v>
      </c>
      <c r="O103" s="66">
        <v>15</v>
      </c>
      <c r="R103" s="61"/>
      <c r="S103" s="61"/>
      <c r="V103" s="61"/>
      <c r="W103" s="61"/>
      <c r="X103" s="61"/>
      <c r="Y103" s="61"/>
      <c r="Z103" s="61"/>
      <c r="AC103" s="95"/>
      <c r="AD103" s="95"/>
      <c r="AE103" s="95"/>
      <c r="AF103" s="95"/>
      <c r="AG103" s="94"/>
      <c r="AH103" s="95"/>
    </row>
    <row r="104" spans="1:34" s="3" customFormat="1" ht="25.5" hidden="1" customHeight="1" x14ac:dyDescent="0.25">
      <c r="A104" s="53" t="s">
        <v>16</v>
      </c>
      <c r="B104" s="54" t="s">
        <v>15</v>
      </c>
      <c r="C104" s="55">
        <v>5384047</v>
      </c>
      <c r="D104" s="55">
        <v>93752</v>
      </c>
      <c r="E104" s="55">
        <v>746321</v>
      </c>
      <c r="F104" s="55">
        <v>0</v>
      </c>
      <c r="G104" s="55">
        <f>D104+E104+F104</f>
        <v>840073</v>
      </c>
      <c r="H104" s="63">
        <v>395318</v>
      </c>
      <c r="I104" s="63">
        <v>3146954</v>
      </c>
      <c r="J104" s="63">
        <v>0</v>
      </c>
      <c r="K104" s="63">
        <f>H104+I104+J104</f>
        <v>3542272</v>
      </c>
      <c r="L104" s="63">
        <v>111790</v>
      </c>
      <c r="M104" s="63">
        <v>889912</v>
      </c>
      <c r="N104" s="63">
        <v>0</v>
      </c>
      <c r="O104" s="63">
        <f>L104+M104+N104</f>
        <v>1001702</v>
      </c>
      <c r="R104" s="62">
        <f>G104+K104+O104</f>
        <v>5384047</v>
      </c>
      <c r="S104" s="62"/>
      <c r="V104" s="61"/>
      <c r="W104" s="61"/>
      <c r="X104" s="61"/>
      <c r="Y104" s="61"/>
      <c r="Z104" s="61"/>
      <c r="AC104" s="95"/>
      <c r="AD104" s="95"/>
      <c r="AE104" s="95"/>
      <c r="AF104" s="95"/>
      <c r="AG104" s="94"/>
      <c r="AH104" s="95"/>
    </row>
    <row r="105" spans="1:34" ht="40.5" hidden="1" customHeight="1" x14ac:dyDescent="0.25">
      <c r="A105" s="56" t="s">
        <v>24</v>
      </c>
      <c r="B105" s="54" t="s">
        <v>14</v>
      </c>
      <c r="C105" s="55">
        <v>288658</v>
      </c>
      <c r="D105" s="55">
        <v>32103</v>
      </c>
      <c r="E105" s="55">
        <v>26857</v>
      </c>
      <c r="F105" s="55">
        <v>855</v>
      </c>
      <c r="G105" s="55">
        <f t="shared" ref="G105:G121" si="24">D105+E105+F105</f>
        <v>59815</v>
      </c>
      <c r="H105" s="63">
        <v>94345</v>
      </c>
      <c r="I105" s="63">
        <v>78928</v>
      </c>
      <c r="J105" s="63">
        <v>2514</v>
      </c>
      <c r="K105" s="63">
        <f t="shared" ref="K105:K121" si="25">H105+I105+J105</f>
        <v>175787</v>
      </c>
      <c r="L105" s="63">
        <v>28475</v>
      </c>
      <c r="M105" s="63">
        <v>23822</v>
      </c>
      <c r="N105" s="63">
        <v>759</v>
      </c>
      <c r="O105" s="63">
        <f t="shared" ref="O105:O121" si="26">L105+M105+N105</f>
        <v>53056</v>
      </c>
      <c r="R105" s="62">
        <f t="shared" ref="R105:R122" si="27">G105+K105+O105</f>
        <v>288658</v>
      </c>
      <c r="S105" s="62"/>
    </row>
    <row r="106" spans="1:34" ht="34.5" hidden="1" customHeight="1" x14ac:dyDescent="0.25">
      <c r="A106" s="56" t="s">
        <v>23</v>
      </c>
      <c r="B106" s="54" t="s">
        <v>13</v>
      </c>
      <c r="C106" s="55">
        <v>1351325</v>
      </c>
      <c r="D106" s="55">
        <v>0</v>
      </c>
      <c r="E106" s="55">
        <v>76593</v>
      </c>
      <c r="F106" s="55">
        <v>0</v>
      </c>
      <c r="G106" s="55">
        <f t="shared" si="24"/>
        <v>76593</v>
      </c>
      <c r="H106" s="63">
        <v>0</v>
      </c>
      <c r="I106" s="63">
        <v>1135316</v>
      </c>
      <c r="J106" s="63">
        <v>0</v>
      </c>
      <c r="K106" s="63">
        <f t="shared" si="25"/>
        <v>1135316</v>
      </c>
      <c r="L106" s="63">
        <v>0</v>
      </c>
      <c r="M106" s="63">
        <v>139416</v>
      </c>
      <c r="N106" s="63">
        <v>0</v>
      </c>
      <c r="O106" s="63">
        <f t="shared" si="26"/>
        <v>139416</v>
      </c>
      <c r="R106" s="62">
        <f t="shared" si="27"/>
        <v>1351325</v>
      </c>
      <c r="S106" s="62"/>
    </row>
    <row r="107" spans="1:34" ht="40.5" hidden="1" customHeight="1" x14ac:dyDescent="0.25">
      <c r="A107" s="56" t="s">
        <v>22</v>
      </c>
      <c r="B107" s="54" t="s">
        <v>12</v>
      </c>
      <c r="C107" s="55">
        <v>133660</v>
      </c>
      <c r="D107" s="55">
        <v>15375</v>
      </c>
      <c r="E107" s="55">
        <v>0</v>
      </c>
      <c r="F107" s="55">
        <v>0</v>
      </c>
      <c r="G107" s="55">
        <f t="shared" si="24"/>
        <v>15375</v>
      </c>
      <c r="H107" s="63">
        <v>99994</v>
      </c>
      <c r="I107" s="63">
        <v>0</v>
      </c>
      <c r="J107" s="63">
        <v>0</v>
      </c>
      <c r="K107" s="63">
        <f t="shared" si="25"/>
        <v>99994</v>
      </c>
      <c r="L107" s="63">
        <v>18291</v>
      </c>
      <c r="M107" s="63">
        <v>0</v>
      </c>
      <c r="N107" s="63">
        <v>0</v>
      </c>
      <c r="O107" s="63">
        <f t="shared" si="26"/>
        <v>18291</v>
      </c>
      <c r="R107" s="62">
        <f t="shared" si="27"/>
        <v>133660</v>
      </c>
      <c r="S107" s="62"/>
    </row>
    <row r="108" spans="1:34" ht="39.75" hidden="1" customHeight="1" x14ac:dyDescent="0.25">
      <c r="A108" s="56" t="s">
        <v>21</v>
      </c>
      <c r="B108" s="54" t="s">
        <v>11</v>
      </c>
      <c r="C108" s="55">
        <v>154250</v>
      </c>
      <c r="D108" s="55">
        <v>6046</v>
      </c>
      <c r="E108" s="55">
        <v>9571</v>
      </c>
      <c r="F108" s="55">
        <v>4104</v>
      </c>
      <c r="G108" s="55">
        <f t="shared" si="24"/>
        <v>19721</v>
      </c>
      <c r="H108" s="63">
        <v>32075</v>
      </c>
      <c r="I108" s="63">
        <v>50769</v>
      </c>
      <c r="J108" s="63">
        <v>21770</v>
      </c>
      <c r="K108" s="63">
        <f t="shared" si="25"/>
        <v>104614</v>
      </c>
      <c r="L108" s="63">
        <v>9172</v>
      </c>
      <c r="M108" s="63">
        <v>14518</v>
      </c>
      <c r="N108" s="63">
        <v>6225</v>
      </c>
      <c r="O108" s="63">
        <f t="shared" si="26"/>
        <v>29915</v>
      </c>
      <c r="R108" s="62">
        <f t="shared" si="27"/>
        <v>154250</v>
      </c>
      <c r="S108" s="62"/>
    </row>
    <row r="109" spans="1:34" ht="28.5" hidden="1" customHeight="1" x14ac:dyDescent="0.25">
      <c r="A109" s="56" t="s">
        <v>20</v>
      </c>
      <c r="B109" s="54" t="s">
        <v>34</v>
      </c>
      <c r="C109" s="55">
        <v>256867</v>
      </c>
      <c r="D109" s="55">
        <v>48080</v>
      </c>
      <c r="E109" s="55">
        <v>0</v>
      </c>
      <c r="F109" s="55">
        <v>0</v>
      </c>
      <c r="G109" s="55">
        <f t="shared" si="24"/>
        <v>48080</v>
      </c>
      <c r="H109" s="63">
        <v>156938</v>
      </c>
      <c r="I109" s="63">
        <v>0</v>
      </c>
      <c r="J109" s="63">
        <v>0</v>
      </c>
      <c r="K109" s="63">
        <f t="shared" si="25"/>
        <v>156938</v>
      </c>
      <c r="L109" s="63">
        <v>51849</v>
      </c>
      <c r="M109" s="63">
        <v>0</v>
      </c>
      <c r="N109" s="63">
        <v>0</v>
      </c>
      <c r="O109" s="63">
        <f t="shared" si="26"/>
        <v>51849</v>
      </c>
      <c r="R109" s="62">
        <f t="shared" si="27"/>
        <v>256867</v>
      </c>
      <c r="S109" s="62"/>
    </row>
    <row r="110" spans="1:34" ht="34.5" hidden="1" customHeight="1" x14ac:dyDescent="0.25">
      <c r="A110" s="56" t="s">
        <v>19</v>
      </c>
      <c r="B110" s="54" t="s">
        <v>10</v>
      </c>
      <c r="C110" s="55">
        <v>1121931</v>
      </c>
      <c r="D110" s="55">
        <v>24374</v>
      </c>
      <c r="E110" s="55">
        <v>31876</v>
      </c>
      <c r="F110" s="55">
        <v>1495</v>
      </c>
      <c r="G110" s="55">
        <f t="shared" si="24"/>
        <v>57745</v>
      </c>
      <c r="H110" s="63">
        <v>379100</v>
      </c>
      <c r="I110" s="63">
        <v>495767</v>
      </c>
      <c r="J110" s="63">
        <v>23262</v>
      </c>
      <c r="K110" s="63">
        <f t="shared" si="25"/>
        <v>898129</v>
      </c>
      <c r="L110" s="63">
        <v>70093</v>
      </c>
      <c r="M110" s="63">
        <v>91663</v>
      </c>
      <c r="N110" s="63">
        <v>4301</v>
      </c>
      <c r="O110" s="63">
        <f t="shared" si="26"/>
        <v>166057</v>
      </c>
      <c r="R110" s="62">
        <f t="shared" si="27"/>
        <v>1121931</v>
      </c>
      <c r="S110" s="62"/>
    </row>
    <row r="111" spans="1:34" ht="25.5" hidden="1" customHeight="1" x14ac:dyDescent="0.25">
      <c r="A111" s="56" t="s">
        <v>18</v>
      </c>
      <c r="B111" s="54" t="s">
        <v>9</v>
      </c>
      <c r="C111" s="55">
        <v>1051416</v>
      </c>
      <c r="D111" s="55">
        <v>94207</v>
      </c>
      <c r="E111" s="55">
        <v>156606</v>
      </c>
      <c r="F111" s="55">
        <v>2431</v>
      </c>
      <c r="G111" s="55">
        <f t="shared" si="24"/>
        <v>253244</v>
      </c>
      <c r="H111" s="63">
        <v>294362</v>
      </c>
      <c r="I111" s="63">
        <v>489337</v>
      </c>
      <c r="J111" s="63">
        <v>7596</v>
      </c>
      <c r="K111" s="63">
        <f t="shared" si="25"/>
        <v>791295</v>
      </c>
      <c r="L111" s="63">
        <v>2558</v>
      </c>
      <c r="M111" s="63">
        <v>4253</v>
      </c>
      <c r="N111" s="63">
        <v>66</v>
      </c>
      <c r="O111" s="63">
        <f t="shared" si="26"/>
        <v>6877</v>
      </c>
      <c r="R111" s="62">
        <f t="shared" si="27"/>
        <v>1051416</v>
      </c>
      <c r="S111" s="62"/>
    </row>
    <row r="112" spans="1:34" ht="25.5" hidden="1" customHeight="1" x14ac:dyDescent="0.25">
      <c r="A112" s="56" t="s">
        <v>25</v>
      </c>
      <c r="B112" s="54" t="s">
        <v>8</v>
      </c>
      <c r="C112" s="55">
        <v>1429689</v>
      </c>
      <c r="D112" s="55">
        <v>10301</v>
      </c>
      <c r="E112" s="55">
        <v>46172</v>
      </c>
      <c r="F112" s="55">
        <v>0</v>
      </c>
      <c r="G112" s="55">
        <f t="shared" si="24"/>
        <v>56473</v>
      </c>
      <c r="H112" s="63">
        <v>167178</v>
      </c>
      <c r="I112" s="63">
        <v>749367</v>
      </c>
      <c r="J112" s="63">
        <v>0</v>
      </c>
      <c r="K112" s="63">
        <f t="shared" si="25"/>
        <v>916545</v>
      </c>
      <c r="L112" s="63">
        <v>83297</v>
      </c>
      <c r="M112" s="63">
        <v>373374</v>
      </c>
      <c r="N112" s="63">
        <v>0</v>
      </c>
      <c r="O112" s="63">
        <f t="shared" si="26"/>
        <v>456671</v>
      </c>
      <c r="R112" s="62">
        <f t="shared" si="27"/>
        <v>1429689</v>
      </c>
      <c r="S112" s="62"/>
    </row>
    <row r="113" spans="1:34" ht="25.5" hidden="1" customHeight="1" x14ac:dyDescent="0.25">
      <c r="A113" s="56" t="s">
        <v>26</v>
      </c>
      <c r="B113" s="54" t="s">
        <v>7</v>
      </c>
      <c r="C113" s="55">
        <v>686432</v>
      </c>
      <c r="D113" s="55">
        <v>1583</v>
      </c>
      <c r="E113" s="55">
        <v>10958</v>
      </c>
      <c r="F113" s="55">
        <v>0</v>
      </c>
      <c r="G113" s="55">
        <f t="shared" si="24"/>
        <v>12541</v>
      </c>
      <c r="H113" s="63">
        <v>77322</v>
      </c>
      <c r="I113" s="63">
        <v>535374</v>
      </c>
      <c r="J113" s="63">
        <v>0</v>
      </c>
      <c r="K113" s="63">
        <f t="shared" si="25"/>
        <v>612696</v>
      </c>
      <c r="L113" s="63">
        <v>7723</v>
      </c>
      <c r="M113" s="63">
        <v>53472</v>
      </c>
      <c r="N113" s="63">
        <v>0</v>
      </c>
      <c r="O113" s="63">
        <f t="shared" si="26"/>
        <v>61195</v>
      </c>
      <c r="R113" s="62">
        <f t="shared" si="27"/>
        <v>686432</v>
      </c>
      <c r="S113" s="62"/>
    </row>
    <row r="114" spans="1:34" ht="25.5" hidden="1" customHeight="1" x14ac:dyDescent="0.25">
      <c r="A114" s="56" t="s">
        <v>27</v>
      </c>
      <c r="B114" s="54" t="s">
        <v>6</v>
      </c>
      <c r="C114" s="55">
        <v>577106</v>
      </c>
      <c r="D114" s="55">
        <v>1837</v>
      </c>
      <c r="E114" s="55">
        <v>2148</v>
      </c>
      <c r="F114" s="55">
        <v>37</v>
      </c>
      <c r="G114" s="55">
        <f t="shared" si="24"/>
        <v>4022</v>
      </c>
      <c r="H114" s="63">
        <v>261389</v>
      </c>
      <c r="I114" s="63">
        <v>305622</v>
      </c>
      <c r="J114" s="63">
        <v>5207</v>
      </c>
      <c r="K114" s="63">
        <f t="shared" si="25"/>
        <v>572218</v>
      </c>
      <c r="L114" s="63">
        <v>396</v>
      </c>
      <c r="M114" s="63">
        <v>462</v>
      </c>
      <c r="N114" s="63">
        <v>8</v>
      </c>
      <c r="O114" s="63">
        <f t="shared" si="26"/>
        <v>866</v>
      </c>
      <c r="R114" s="62">
        <f t="shared" si="27"/>
        <v>577106</v>
      </c>
      <c r="S114" s="62"/>
    </row>
    <row r="115" spans="1:34" ht="25.5" hidden="1" customHeight="1" x14ac:dyDescent="0.25">
      <c r="A115" s="56" t="s">
        <v>28</v>
      </c>
      <c r="B115" s="54" t="s">
        <v>5</v>
      </c>
      <c r="C115" s="55">
        <v>728498</v>
      </c>
      <c r="D115" s="55">
        <v>20853</v>
      </c>
      <c r="E115" s="55">
        <v>75067</v>
      </c>
      <c r="F115" s="55">
        <v>4868</v>
      </c>
      <c r="G115" s="55">
        <f t="shared" si="24"/>
        <v>100788</v>
      </c>
      <c r="H115" s="63">
        <v>128609</v>
      </c>
      <c r="I115" s="63">
        <v>462966</v>
      </c>
      <c r="J115" s="63">
        <v>30023</v>
      </c>
      <c r="K115" s="63">
        <f t="shared" si="25"/>
        <v>621598</v>
      </c>
      <c r="L115" s="63">
        <v>1265</v>
      </c>
      <c r="M115" s="63">
        <v>4552</v>
      </c>
      <c r="N115" s="63">
        <v>295</v>
      </c>
      <c r="O115" s="63">
        <f t="shared" si="26"/>
        <v>6112</v>
      </c>
      <c r="R115" s="62">
        <f t="shared" si="27"/>
        <v>728498</v>
      </c>
      <c r="S115" s="62"/>
    </row>
    <row r="116" spans="1:34" ht="25.5" hidden="1" customHeight="1" x14ac:dyDescent="0.25">
      <c r="A116" s="56" t="s">
        <v>29</v>
      </c>
      <c r="B116" s="54" t="s">
        <v>4</v>
      </c>
      <c r="C116" s="55">
        <v>523659</v>
      </c>
      <c r="D116" s="55">
        <v>10155</v>
      </c>
      <c r="E116" s="55">
        <v>17109</v>
      </c>
      <c r="F116" s="55">
        <v>710</v>
      </c>
      <c r="G116" s="55">
        <f t="shared" si="24"/>
        <v>27974</v>
      </c>
      <c r="H116" s="63">
        <v>173990</v>
      </c>
      <c r="I116" s="63">
        <v>293146</v>
      </c>
      <c r="J116" s="63">
        <v>12174</v>
      </c>
      <c r="K116" s="63">
        <f t="shared" si="25"/>
        <v>479310</v>
      </c>
      <c r="L116" s="63">
        <v>5944</v>
      </c>
      <c r="M116" s="63">
        <v>10015</v>
      </c>
      <c r="N116" s="63">
        <v>416</v>
      </c>
      <c r="O116" s="63">
        <f t="shared" si="26"/>
        <v>16375</v>
      </c>
      <c r="R116" s="62">
        <f t="shared" si="27"/>
        <v>523659</v>
      </c>
      <c r="S116" s="62"/>
    </row>
    <row r="117" spans="1:34" ht="25.5" hidden="1" customHeight="1" x14ac:dyDescent="0.25">
      <c r="A117" s="56">
        <v>14</v>
      </c>
      <c r="B117" s="54" t="s">
        <v>3</v>
      </c>
      <c r="C117" s="55">
        <v>913731</v>
      </c>
      <c r="D117" s="55">
        <v>43796</v>
      </c>
      <c r="E117" s="55">
        <v>21561</v>
      </c>
      <c r="F117" s="55">
        <v>2022</v>
      </c>
      <c r="G117" s="55">
        <f t="shared" si="24"/>
        <v>67379</v>
      </c>
      <c r="H117" s="63">
        <v>489335</v>
      </c>
      <c r="I117" s="63">
        <v>240903</v>
      </c>
      <c r="J117" s="63">
        <v>22585</v>
      </c>
      <c r="K117" s="63">
        <f t="shared" si="25"/>
        <v>752823</v>
      </c>
      <c r="L117" s="63">
        <v>60794</v>
      </c>
      <c r="M117" s="63">
        <v>29929</v>
      </c>
      <c r="N117" s="63">
        <v>2806</v>
      </c>
      <c r="O117" s="63">
        <f t="shared" si="26"/>
        <v>93529</v>
      </c>
      <c r="R117" s="62">
        <f t="shared" si="27"/>
        <v>913731</v>
      </c>
      <c r="S117" s="62"/>
    </row>
    <row r="118" spans="1:34" ht="54" hidden="1" customHeight="1" x14ac:dyDescent="0.25">
      <c r="A118" s="56" t="s">
        <v>30</v>
      </c>
      <c r="B118" s="54" t="s">
        <v>2</v>
      </c>
      <c r="C118" s="55">
        <v>103086</v>
      </c>
      <c r="D118" s="55">
        <v>2920</v>
      </c>
      <c r="E118" s="55">
        <v>0</v>
      </c>
      <c r="F118" s="55">
        <v>0</v>
      </c>
      <c r="G118" s="55">
        <f t="shared" si="24"/>
        <v>2920</v>
      </c>
      <c r="H118" s="63">
        <v>86300</v>
      </c>
      <c r="I118" s="63">
        <v>0</v>
      </c>
      <c r="J118" s="63">
        <v>0</v>
      </c>
      <c r="K118" s="63">
        <f t="shared" si="25"/>
        <v>86300</v>
      </c>
      <c r="L118" s="63">
        <v>13866</v>
      </c>
      <c r="M118" s="63">
        <v>0</v>
      </c>
      <c r="N118" s="63">
        <v>0</v>
      </c>
      <c r="O118" s="63">
        <f t="shared" si="26"/>
        <v>13866</v>
      </c>
      <c r="R118" s="62">
        <f t="shared" si="27"/>
        <v>103086</v>
      </c>
      <c r="S118" s="62"/>
    </row>
    <row r="119" spans="1:34" ht="39.75" hidden="1" customHeight="1" x14ac:dyDescent="0.25">
      <c r="A119" s="56" t="s">
        <v>31</v>
      </c>
      <c r="B119" s="54" t="s">
        <v>1</v>
      </c>
      <c r="C119" s="55">
        <v>55383</v>
      </c>
      <c r="D119" s="55">
        <v>4119</v>
      </c>
      <c r="E119" s="55">
        <v>0</v>
      </c>
      <c r="F119" s="55">
        <v>0</v>
      </c>
      <c r="G119" s="55">
        <f t="shared" si="24"/>
        <v>4119</v>
      </c>
      <c r="H119" s="63">
        <v>49030</v>
      </c>
      <c r="I119" s="63">
        <v>0</v>
      </c>
      <c r="J119" s="63">
        <v>0</v>
      </c>
      <c r="K119" s="63">
        <f t="shared" si="25"/>
        <v>49030</v>
      </c>
      <c r="L119" s="63">
        <v>2234</v>
      </c>
      <c r="M119" s="63">
        <v>0</v>
      </c>
      <c r="N119" s="63">
        <v>0</v>
      </c>
      <c r="O119" s="63">
        <f t="shared" si="26"/>
        <v>2234</v>
      </c>
      <c r="R119" s="62">
        <f t="shared" si="27"/>
        <v>55383</v>
      </c>
      <c r="S119" s="62"/>
    </row>
    <row r="120" spans="1:34" ht="33" hidden="1" customHeight="1" x14ac:dyDescent="0.25">
      <c r="A120" s="56" t="s">
        <v>32</v>
      </c>
      <c r="B120" s="54" t="s">
        <v>73</v>
      </c>
      <c r="C120" s="55">
        <v>61242</v>
      </c>
      <c r="D120" s="55">
        <v>12045</v>
      </c>
      <c r="E120" s="55">
        <v>0</v>
      </c>
      <c r="F120" s="55">
        <v>0</v>
      </c>
      <c r="G120" s="55">
        <f t="shared" si="24"/>
        <v>12045</v>
      </c>
      <c r="H120" s="63">
        <v>39432</v>
      </c>
      <c r="I120" s="63">
        <v>0</v>
      </c>
      <c r="J120" s="63">
        <v>0</v>
      </c>
      <c r="K120" s="63">
        <f t="shared" si="25"/>
        <v>39432</v>
      </c>
      <c r="L120" s="63">
        <v>9765</v>
      </c>
      <c r="M120" s="63">
        <v>0</v>
      </c>
      <c r="N120" s="63">
        <v>0</v>
      </c>
      <c r="O120" s="63">
        <f t="shared" si="26"/>
        <v>9765</v>
      </c>
      <c r="R120" s="62">
        <f t="shared" si="27"/>
        <v>61242</v>
      </c>
      <c r="S120" s="62"/>
    </row>
    <row r="121" spans="1:34" ht="33" hidden="1" customHeight="1" x14ac:dyDescent="0.25">
      <c r="A121" s="56" t="s">
        <v>90</v>
      </c>
      <c r="B121" s="70" t="s">
        <v>91</v>
      </c>
      <c r="C121" s="55">
        <f>E121+I121+M121</f>
        <v>61662</v>
      </c>
      <c r="D121" s="55">
        <v>0</v>
      </c>
      <c r="E121" s="55">
        <v>10436</v>
      </c>
      <c r="F121" s="55">
        <v>0</v>
      </c>
      <c r="G121" s="55">
        <f t="shared" si="24"/>
        <v>10436</v>
      </c>
      <c r="H121" s="63">
        <v>0</v>
      </c>
      <c r="I121" s="63">
        <v>34306</v>
      </c>
      <c r="J121" s="63">
        <v>0</v>
      </c>
      <c r="K121" s="63">
        <f t="shared" si="25"/>
        <v>34306</v>
      </c>
      <c r="L121" s="63">
        <v>0</v>
      </c>
      <c r="M121" s="63">
        <v>16920</v>
      </c>
      <c r="N121" s="63">
        <v>0</v>
      </c>
      <c r="O121" s="63">
        <f t="shared" si="26"/>
        <v>16920</v>
      </c>
      <c r="R121" s="62">
        <f t="shared" si="27"/>
        <v>61662</v>
      </c>
      <c r="S121" s="62"/>
    </row>
    <row r="122" spans="1:34" ht="25.5" hidden="1" customHeight="1" x14ac:dyDescent="0.25">
      <c r="A122" s="57"/>
      <c r="B122" s="57" t="s">
        <v>0</v>
      </c>
      <c r="C122" s="58">
        <f>SUM(C104:C121)</f>
        <v>14882642</v>
      </c>
      <c r="D122" s="58">
        <f>SUM(D104:D121)</f>
        <v>421546</v>
      </c>
      <c r="E122" s="58">
        <f t="shared" ref="E122:O122" si="28">SUM(E104:E121)</f>
        <v>1231275</v>
      </c>
      <c r="F122" s="58">
        <f t="shared" si="28"/>
        <v>16522</v>
      </c>
      <c r="G122" s="58">
        <f t="shared" si="28"/>
        <v>1669343</v>
      </c>
      <c r="H122" s="58">
        <f t="shared" si="28"/>
        <v>2924717</v>
      </c>
      <c r="I122" s="58">
        <f t="shared" si="28"/>
        <v>8018755</v>
      </c>
      <c r="J122" s="58">
        <f t="shared" si="28"/>
        <v>125131</v>
      </c>
      <c r="K122" s="58">
        <f t="shared" si="28"/>
        <v>11068603</v>
      </c>
      <c r="L122" s="58">
        <f t="shared" si="28"/>
        <v>477512</v>
      </c>
      <c r="M122" s="58">
        <f t="shared" si="28"/>
        <v>1652308</v>
      </c>
      <c r="N122" s="58">
        <f t="shared" si="28"/>
        <v>14876</v>
      </c>
      <c r="O122" s="58">
        <f t="shared" si="28"/>
        <v>2144696</v>
      </c>
      <c r="R122" s="62">
        <f t="shared" si="27"/>
        <v>14882642</v>
      </c>
      <c r="S122" s="62"/>
    </row>
    <row r="123" spans="1:34" hidden="1" x14ac:dyDescent="0.25"/>
    <row r="124" spans="1:34" s="4" customFormat="1" ht="28.5" hidden="1" customHeight="1" x14ac:dyDescent="0.25">
      <c r="A124" s="152" t="s">
        <v>17</v>
      </c>
      <c r="B124" s="152" t="s">
        <v>33</v>
      </c>
      <c r="C124" s="152" t="s">
        <v>78</v>
      </c>
      <c r="D124" s="152" t="s">
        <v>69</v>
      </c>
      <c r="E124" s="152"/>
      <c r="F124" s="152"/>
      <c r="G124" s="152"/>
      <c r="H124" s="152"/>
      <c r="I124" s="152"/>
      <c r="J124" s="152"/>
      <c r="K124" s="152"/>
      <c r="L124" s="152"/>
      <c r="M124" s="152"/>
      <c r="N124" s="152"/>
      <c r="O124" s="152"/>
      <c r="R124" s="61"/>
      <c r="S124" s="61"/>
      <c r="V124" s="61"/>
      <c r="W124" s="61"/>
      <c r="X124" s="61"/>
      <c r="Y124" s="61"/>
      <c r="Z124" s="61"/>
      <c r="AC124" s="95"/>
      <c r="AD124" s="95"/>
      <c r="AE124" s="95"/>
      <c r="AF124" s="95"/>
      <c r="AG124" s="93"/>
      <c r="AH124" s="95"/>
    </row>
    <row r="125" spans="1:34" s="4" customFormat="1" ht="41.25" hidden="1" customHeight="1" x14ac:dyDescent="0.25">
      <c r="A125" s="152"/>
      <c r="B125" s="152"/>
      <c r="C125" s="152"/>
      <c r="D125" s="154" t="s">
        <v>36</v>
      </c>
      <c r="E125" s="154"/>
      <c r="F125" s="154"/>
      <c r="G125" s="154"/>
      <c r="H125" s="155" t="s">
        <v>37</v>
      </c>
      <c r="I125" s="156"/>
      <c r="J125" s="156"/>
      <c r="K125" s="157"/>
      <c r="L125" s="155" t="s">
        <v>38</v>
      </c>
      <c r="M125" s="156"/>
      <c r="N125" s="156"/>
      <c r="O125" s="157"/>
      <c r="R125" s="61"/>
      <c r="S125" s="61"/>
      <c r="V125" s="61"/>
      <c r="W125" s="61"/>
      <c r="X125" s="61"/>
      <c r="Y125" s="61"/>
      <c r="Z125" s="61"/>
      <c r="AC125" s="95"/>
      <c r="AD125" s="95"/>
      <c r="AE125" s="95"/>
      <c r="AF125" s="95"/>
      <c r="AG125" s="93"/>
      <c r="AH125" s="95"/>
    </row>
    <row r="126" spans="1:34" s="4" customFormat="1" ht="59.25" hidden="1" customHeight="1" x14ac:dyDescent="0.25">
      <c r="A126" s="152"/>
      <c r="B126" s="152"/>
      <c r="C126" s="152"/>
      <c r="D126" s="109" t="s">
        <v>66</v>
      </c>
      <c r="E126" s="109" t="s">
        <v>67</v>
      </c>
      <c r="F126" s="109" t="s">
        <v>68</v>
      </c>
      <c r="G126" s="109" t="s">
        <v>70</v>
      </c>
      <c r="H126" s="65" t="s">
        <v>66</v>
      </c>
      <c r="I126" s="65" t="s">
        <v>67</v>
      </c>
      <c r="J126" s="65" t="s">
        <v>68</v>
      </c>
      <c r="K126" s="65" t="s">
        <v>71</v>
      </c>
      <c r="L126" s="65" t="s">
        <v>66</v>
      </c>
      <c r="M126" s="65" t="s">
        <v>67</v>
      </c>
      <c r="N126" s="65" t="s">
        <v>68</v>
      </c>
      <c r="O126" s="65" t="s">
        <v>72</v>
      </c>
      <c r="R126" s="61"/>
      <c r="S126" s="61"/>
      <c r="V126" s="61"/>
      <c r="W126" s="61"/>
      <c r="X126" s="61"/>
      <c r="Y126" s="61"/>
      <c r="Z126" s="61"/>
      <c r="AC126" s="95"/>
      <c r="AD126" s="95"/>
      <c r="AE126" s="95"/>
      <c r="AF126" s="95"/>
      <c r="AG126" s="93"/>
      <c r="AH126" s="95"/>
    </row>
    <row r="127" spans="1:34" s="3" customFormat="1" ht="14.25" hidden="1" customHeight="1" x14ac:dyDescent="0.25">
      <c r="A127" s="53">
        <v>1</v>
      </c>
      <c r="B127" s="53">
        <v>2</v>
      </c>
      <c r="C127" s="53">
        <v>3</v>
      </c>
      <c r="D127" s="53">
        <v>4</v>
      </c>
      <c r="E127" s="53">
        <v>5</v>
      </c>
      <c r="F127" s="53">
        <v>6</v>
      </c>
      <c r="G127" s="53">
        <v>7</v>
      </c>
      <c r="H127" s="66">
        <v>8</v>
      </c>
      <c r="I127" s="66">
        <v>9</v>
      </c>
      <c r="J127" s="66">
        <v>10</v>
      </c>
      <c r="K127" s="66">
        <v>11</v>
      </c>
      <c r="L127" s="66">
        <v>12</v>
      </c>
      <c r="M127" s="66">
        <v>13</v>
      </c>
      <c r="N127" s="66">
        <v>14</v>
      </c>
      <c r="O127" s="66">
        <v>15</v>
      </c>
      <c r="R127" s="61"/>
      <c r="S127" s="61"/>
      <c r="V127" s="61"/>
      <c r="W127" s="61"/>
      <c r="X127" s="61"/>
      <c r="Y127" s="61"/>
      <c r="Z127" s="61"/>
      <c r="AC127" s="95"/>
      <c r="AD127" s="95"/>
      <c r="AE127" s="95"/>
      <c r="AF127" s="95"/>
      <c r="AG127" s="94"/>
      <c r="AH127" s="95"/>
    </row>
    <row r="128" spans="1:34" s="3" customFormat="1" ht="25.5" hidden="1" customHeight="1" x14ac:dyDescent="0.25">
      <c r="A128" s="53" t="s">
        <v>16</v>
      </c>
      <c r="B128" s="54" t="s">
        <v>15</v>
      </c>
      <c r="C128" s="55">
        <v>2452837</v>
      </c>
      <c r="D128" s="55">
        <v>76237</v>
      </c>
      <c r="E128" s="55">
        <v>306479</v>
      </c>
      <c r="F128" s="55">
        <v>0</v>
      </c>
      <c r="G128" s="55">
        <f>D128+E128+F128</f>
        <v>382716</v>
      </c>
      <c r="H128" s="63">
        <v>321463</v>
      </c>
      <c r="I128" s="63">
        <v>1292307</v>
      </c>
      <c r="J128" s="63">
        <v>0</v>
      </c>
      <c r="K128" s="63">
        <f>H128+I128+J128</f>
        <v>1613770</v>
      </c>
      <c r="L128" s="63">
        <v>90905</v>
      </c>
      <c r="M128" s="63">
        <v>365446</v>
      </c>
      <c r="N128" s="63">
        <v>0</v>
      </c>
      <c r="O128" s="63">
        <f>L128+M128+N128</f>
        <v>456351</v>
      </c>
      <c r="R128" s="62">
        <f>G128+K128+O128</f>
        <v>2452837</v>
      </c>
      <c r="S128" s="62"/>
      <c r="V128" s="61"/>
      <c r="W128" s="61"/>
      <c r="X128" s="61"/>
      <c r="Y128" s="61"/>
      <c r="Z128" s="61"/>
      <c r="AC128" s="95"/>
      <c r="AD128" s="95"/>
      <c r="AE128" s="95"/>
      <c r="AF128" s="95"/>
      <c r="AG128" s="94"/>
      <c r="AH128" s="95"/>
    </row>
    <row r="129" spans="1:19" customFormat="1" ht="30" hidden="1" x14ac:dyDescent="0.25">
      <c r="A129" s="56" t="s">
        <v>24</v>
      </c>
      <c r="B129" s="54" t="s">
        <v>14</v>
      </c>
      <c r="C129" s="55">
        <v>273447</v>
      </c>
      <c r="D129" s="55">
        <v>28978</v>
      </c>
      <c r="E129" s="55">
        <v>26830</v>
      </c>
      <c r="F129" s="55">
        <v>855</v>
      </c>
      <c r="G129" s="55">
        <f t="shared" ref="G129:G145" si="29">D129+E129+F129</f>
        <v>56663</v>
      </c>
      <c r="H129" s="63">
        <v>85160</v>
      </c>
      <c r="I129" s="63">
        <v>78849</v>
      </c>
      <c r="J129" s="63">
        <v>2515</v>
      </c>
      <c r="K129" s="63">
        <f t="shared" ref="K129:K145" si="30">H129+I129+J129</f>
        <v>166524</v>
      </c>
      <c r="L129" s="63">
        <v>25703</v>
      </c>
      <c r="M129" s="63">
        <v>23798</v>
      </c>
      <c r="N129" s="63">
        <v>759</v>
      </c>
      <c r="O129" s="63">
        <f t="shared" ref="O129:O145" si="31">L129+M129+N129</f>
        <v>50260</v>
      </c>
      <c r="R129" s="62">
        <f t="shared" ref="R129:R146" si="32">G129+K129+O129</f>
        <v>273447</v>
      </c>
      <c r="S129" s="62"/>
    </row>
    <row r="130" spans="1:19" customFormat="1" ht="30" hidden="1" x14ac:dyDescent="0.25">
      <c r="A130" s="56" t="s">
        <v>23</v>
      </c>
      <c r="B130" s="54" t="s">
        <v>13</v>
      </c>
      <c r="C130" s="55">
        <v>617701</v>
      </c>
      <c r="D130" s="55">
        <v>0</v>
      </c>
      <c r="E130" s="55">
        <v>35011</v>
      </c>
      <c r="F130" s="55">
        <v>0</v>
      </c>
      <c r="G130" s="55">
        <f t="shared" si="29"/>
        <v>35011</v>
      </c>
      <c r="H130" s="63">
        <v>0</v>
      </c>
      <c r="I130" s="63">
        <v>518962</v>
      </c>
      <c r="J130" s="63">
        <v>0</v>
      </c>
      <c r="K130" s="63">
        <f t="shared" si="30"/>
        <v>518962</v>
      </c>
      <c r="L130" s="63">
        <v>0</v>
      </c>
      <c r="M130" s="63">
        <v>63728</v>
      </c>
      <c r="N130" s="63">
        <v>0</v>
      </c>
      <c r="O130" s="63">
        <f t="shared" si="31"/>
        <v>63728</v>
      </c>
      <c r="R130" s="62">
        <f t="shared" si="32"/>
        <v>617701</v>
      </c>
      <c r="S130" s="62"/>
    </row>
    <row r="131" spans="1:19" customFormat="1" ht="30" hidden="1" x14ac:dyDescent="0.25">
      <c r="A131" s="56" t="s">
        <v>22</v>
      </c>
      <c r="B131" s="54" t="s">
        <v>12</v>
      </c>
      <c r="C131" s="55">
        <v>111559</v>
      </c>
      <c r="D131" s="55">
        <v>12832</v>
      </c>
      <c r="E131" s="55">
        <v>0</v>
      </c>
      <c r="F131" s="55">
        <v>0</v>
      </c>
      <c r="G131" s="55">
        <f t="shared" si="29"/>
        <v>12832</v>
      </c>
      <c r="H131" s="63">
        <v>83460</v>
      </c>
      <c r="I131" s="63">
        <v>0</v>
      </c>
      <c r="J131" s="63">
        <v>0</v>
      </c>
      <c r="K131" s="63">
        <f t="shared" si="30"/>
        <v>83460</v>
      </c>
      <c r="L131" s="63">
        <v>15267</v>
      </c>
      <c r="M131" s="63">
        <v>0</v>
      </c>
      <c r="N131" s="63">
        <v>0</v>
      </c>
      <c r="O131" s="63">
        <f t="shared" si="31"/>
        <v>15267</v>
      </c>
      <c r="R131" s="62">
        <f t="shared" si="32"/>
        <v>111559</v>
      </c>
      <c r="S131" s="62"/>
    </row>
    <row r="132" spans="1:19" customFormat="1" ht="30" hidden="1" x14ac:dyDescent="0.25">
      <c r="A132" s="56" t="s">
        <v>21</v>
      </c>
      <c r="B132" s="54" t="s">
        <v>11</v>
      </c>
      <c r="C132" s="55">
        <v>115037</v>
      </c>
      <c r="D132" s="55">
        <v>4518</v>
      </c>
      <c r="E132" s="55">
        <v>7086</v>
      </c>
      <c r="F132" s="55">
        <v>3103</v>
      </c>
      <c r="G132" s="55">
        <f t="shared" si="29"/>
        <v>14707</v>
      </c>
      <c r="H132" s="63">
        <v>23968</v>
      </c>
      <c r="I132" s="63">
        <v>37590</v>
      </c>
      <c r="J132" s="63">
        <v>16462</v>
      </c>
      <c r="K132" s="63">
        <f t="shared" si="30"/>
        <v>78020</v>
      </c>
      <c r="L132" s="63">
        <v>6854</v>
      </c>
      <c r="M132" s="63">
        <v>10749</v>
      </c>
      <c r="N132" s="63">
        <v>4707</v>
      </c>
      <c r="O132" s="63">
        <f t="shared" si="31"/>
        <v>22310</v>
      </c>
      <c r="R132" s="62">
        <f t="shared" si="32"/>
        <v>115037</v>
      </c>
      <c r="S132" s="62"/>
    </row>
    <row r="133" spans="1:19" customFormat="1" hidden="1" x14ac:dyDescent="0.25">
      <c r="A133" s="56" t="s">
        <v>20</v>
      </c>
      <c r="B133" s="54" t="s">
        <v>34</v>
      </c>
      <c r="C133" s="55">
        <v>204496</v>
      </c>
      <c r="D133" s="55">
        <v>38278</v>
      </c>
      <c r="E133" s="55">
        <v>0</v>
      </c>
      <c r="F133" s="55">
        <v>0</v>
      </c>
      <c r="G133" s="55">
        <f t="shared" si="29"/>
        <v>38278</v>
      </c>
      <c r="H133" s="63">
        <v>124941</v>
      </c>
      <c r="I133" s="63">
        <v>0</v>
      </c>
      <c r="J133" s="63">
        <v>0</v>
      </c>
      <c r="K133" s="63">
        <f t="shared" si="30"/>
        <v>124941</v>
      </c>
      <c r="L133" s="63">
        <v>41277</v>
      </c>
      <c r="M133" s="63">
        <v>0</v>
      </c>
      <c r="N133" s="63">
        <v>0</v>
      </c>
      <c r="O133" s="63">
        <f t="shared" si="31"/>
        <v>41277</v>
      </c>
      <c r="R133" s="62">
        <f t="shared" si="32"/>
        <v>204496</v>
      </c>
      <c r="S133" s="62"/>
    </row>
    <row r="134" spans="1:19" customFormat="1" ht="30" hidden="1" x14ac:dyDescent="0.25">
      <c r="A134" s="56" t="s">
        <v>19</v>
      </c>
      <c r="B134" s="54" t="s">
        <v>10</v>
      </c>
      <c r="C134" s="55">
        <v>785825</v>
      </c>
      <c r="D134" s="55">
        <v>17072</v>
      </c>
      <c r="E134" s="55">
        <v>22330</v>
      </c>
      <c r="F134" s="55">
        <v>1044</v>
      </c>
      <c r="G134" s="55">
        <f t="shared" si="29"/>
        <v>40446</v>
      </c>
      <c r="H134" s="63">
        <v>265530</v>
      </c>
      <c r="I134" s="63">
        <v>347309</v>
      </c>
      <c r="J134" s="63">
        <v>16230</v>
      </c>
      <c r="K134" s="63">
        <f t="shared" si="30"/>
        <v>629069</v>
      </c>
      <c r="L134" s="63">
        <v>49094</v>
      </c>
      <c r="M134" s="63">
        <v>64215</v>
      </c>
      <c r="N134" s="63">
        <v>3001</v>
      </c>
      <c r="O134" s="63">
        <f t="shared" si="31"/>
        <v>116310</v>
      </c>
      <c r="R134" s="62">
        <f t="shared" si="32"/>
        <v>785825</v>
      </c>
      <c r="S134" s="62"/>
    </row>
    <row r="135" spans="1:19" customFormat="1" hidden="1" x14ac:dyDescent="0.25">
      <c r="A135" s="56" t="s">
        <v>18</v>
      </c>
      <c r="B135" s="54" t="s">
        <v>9</v>
      </c>
      <c r="C135" s="55">
        <v>356070</v>
      </c>
      <c r="D135" s="55">
        <v>22813</v>
      </c>
      <c r="E135" s="55">
        <v>62950</v>
      </c>
      <c r="F135" s="55">
        <v>0</v>
      </c>
      <c r="G135" s="55">
        <f t="shared" si="29"/>
        <v>85763</v>
      </c>
      <c r="H135" s="63">
        <v>71282</v>
      </c>
      <c r="I135" s="63">
        <v>196696</v>
      </c>
      <c r="J135" s="63">
        <v>0</v>
      </c>
      <c r="K135" s="63">
        <f t="shared" si="30"/>
        <v>267978</v>
      </c>
      <c r="L135" s="63">
        <v>620</v>
      </c>
      <c r="M135" s="63">
        <v>1709</v>
      </c>
      <c r="N135" s="63">
        <v>0</v>
      </c>
      <c r="O135" s="63">
        <f t="shared" si="31"/>
        <v>2329</v>
      </c>
      <c r="R135" s="62">
        <f t="shared" si="32"/>
        <v>356070</v>
      </c>
      <c r="S135" s="62"/>
    </row>
    <row r="136" spans="1:19" customFormat="1" hidden="1" x14ac:dyDescent="0.25">
      <c r="A136" s="56" t="s">
        <v>25</v>
      </c>
      <c r="B136" s="54" t="s">
        <v>8</v>
      </c>
      <c r="C136" s="55">
        <v>933494</v>
      </c>
      <c r="D136" s="55">
        <v>6173</v>
      </c>
      <c r="E136" s="55">
        <v>30700</v>
      </c>
      <c r="F136" s="55">
        <v>0</v>
      </c>
      <c r="G136" s="55">
        <f t="shared" si="29"/>
        <v>36873</v>
      </c>
      <c r="H136" s="63">
        <v>100180</v>
      </c>
      <c r="I136" s="63">
        <v>498264</v>
      </c>
      <c r="J136" s="63">
        <v>0</v>
      </c>
      <c r="K136" s="63">
        <f t="shared" si="30"/>
        <v>598444</v>
      </c>
      <c r="L136" s="63">
        <v>49915</v>
      </c>
      <c r="M136" s="63">
        <v>248262</v>
      </c>
      <c r="N136" s="63">
        <v>0</v>
      </c>
      <c r="O136" s="63">
        <f t="shared" si="31"/>
        <v>298177</v>
      </c>
      <c r="R136" s="62">
        <f t="shared" si="32"/>
        <v>933494</v>
      </c>
      <c r="S136" s="62"/>
    </row>
    <row r="137" spans="1:19" customFormat="1" hidden="1" x14ac:dyDescent="0.25">
      <c r="A137" s="56" t="s">
        <v>26</v>
      </c>
      <c r="B137" s="54" t="s">
        <v>7</v>
      </c>
      <c r="C137" s="55">
        <v>486223</v>
      </c>
      <c r="D137" s="55">
        <v>1196</v>
      </c>
      <c r="E137" s="55">
        <v>7687</v>
      </c>
      <c r="F137" s="55">
        <v>0</v>
      </c>
      <c r="G137" s="55">
        <f t="shared" si="29"/>
        <v>8883</v>
      </c>
      <c r="H137" s="63">
        <v>58459</v>
      </c>
      <c r="I137" s="63">
        <v>375534</v>
      </c>
      <c r="J137" s="63">
        <v>0</v>
      </c>
      <c r="K137" s="63">
        <f t="shared" si="30"/>
        <v>433993</v>
      </c>
      <c r="L137" s="63">
        <v>5839</v>
      </c>
      <c r="M137" s="63">
        <v>37508</v>
      </c>
      <c r="N137" s="63">
        <v>0</v>
      </c>
      <c r="O137" s="63">
        <f t="shared" si="31"/>
        <v>43347</v>
      </c>
      <c r="R137" s="62">
        <f t="shared" si="32"/>
        <v>486223</v>
      </c>
      <c r="S137" s="62"/>
    </row>
    <row r="138" spans="1:19" customFormat="1" hidden="1" x14ac:dyDescent="0.25">
      <c r="A138" s="56" t="s">
        <v>27</v>
      </c>
      <c r="B138" s="54" t="s">
        <v>6</v>
      </c>
      <c r="C138" s="55">
        <v>344323</v>
      </c>
      <c r="D138" s="55">
        <v>1076</v>
      </c>
      <c r="E138" s="55">
        <v>1299</v>
      </c>
      <c r="F138" s="55">
        <v>25</v>
      </c>
      <c r="G138" s="55">
        <f t="shared" si="29"/>
        <v>2400</v>
      </c>
      <c r="H138" s="63">
        <v>153053</v>
      </c>
      <c r="I138" s="63">
        <v>184769</v>
      </c>
      <c r="J138" s="63">
        <v>3585</v>
      </c>
      <c r="K138" s="63">
        <f t="shared" si="30"/>
        <v>341407</v>
      </c>
      <c r="L138" s="63">
        <v>231</v>
      </c>
      <c r="M138" s="63">
        <v>280</v>
      </c>
      <c r="N138" s="63">
        <v>5</v>
      </c>
      <c r="O138" s="63">
        <f t="shared" si="31"/>
        <v>516</v>
      </c>
      <c r="R138" s="62">
        <f t="shared" si="32"/>
        <v>344323</v>
      </c>
      <c r="S138" s="62"/>
    </row>
    <row r="139" spans="1:19" customFormat="1" hidden="1" x14ac:dyDescent="0.25">
      <c r="A139" s="56" t="s">
        <v>28</v>
      </c>
      <c r="B139" s="54" t="s">
        <v>5</v>
      </c>
      <c r="C139" s="55">
        <v>781685</v>
      </c>
      <c r="D139" s="55">
        <v>68900</v>
      </c>
      <c r="E139" s="55">
        <v>37181</v>
      </c>
      <c r="F139" s="55">
        <v>2066</v>
      </c>
      <c r="G139" s="55">
        <f t="shared" si="29"/>
        <v>108147</v>
      </c>
      <c r="H139" s="63">
        <v>424933</v>
      </c>
      <c r="I139" s="63">
        <v>229308</v>
      </c>
      <c r="J139" s="63">
        <v>12739</v>
      </c>
      <c r="K139" s="63">
        <f t="shared" si="30"/>
        <v>666980</v>
      </c>
      <c r="L139" s="63">
        <v>4178</v>
      </c>
      <c r="M139" s="63">
        <v>2255</v>
      </c>
      <c r="N139" s="63">
        <v>125</v>
      </c>
      <c r="O139" s="63">
        <f t="shared" si="31"/>
        <v>6558</v>
      </c>
      <c r="R139" s="62">
        <f t="shared" si="32"/>
        <v>781685</v>
      </c>
      <c r="S139" s="62"/>
    </row>
    <row r="140" spans="1:19" customFormat="1" hidden="1" x14ac:dyDescent="0.25">
      <c r="A140" s="56" t="s">
        <v>29</v>
      </c>
      <c r="B140" s="54" t="s">
        <v>4</v>
      </c>
      <c r="C140" s="55">
        <v>319521</v>
      </c>
      <c r="D140" s="55">
        <v>6196</v>
      </c>
      <c r="E140" s="55">
        <v>10441</v>
      </c>
      <c r="F140" s="55">
        <v>432</v>
      </c>
      <c r="G140" s="55">
        <f t="shared" si="29"/>
        <v>17069</v>
      </c>
      <c r="H140" s="63">
        <v>106163</v>
      </c>
      <c r="I140" s="63">
        <v>178898</v>
      </c>
      <c r="J140" s="63">
        <v>7399</v>
      </c>
      <c r="K140" s="63">
        <f t="shared" si="30"/>
        <v>292460</v>
      </c>
      <c r="L140" s="63">
        <v>3627</v>
      </c>
      <c r="M140" s="63">
        <v>6112</v>
      </c>
      <c r="N140" s="63">
        <v>253</v>
      </c>
      <c r="O140" s="63">
        <f t="shared" si="31"/>
        <v>9992</v>
      </c>
      <c r="R140" s="62">
        <f t="shared" si="32"/>
        <v>319521</v>
      </c>
      <c r="S140" s="62"/>
    </row>
    <row r="141" spans="1:19" customFormat="1" hidden="1" x14ac:dyDescent="0.25">
      <c r="A141" s="56">
        <v>14</v>
      </c>
      <c r="B141" s="54" t="s">
        <v>3</v>
      </c>
      <c r="C141" s="55">
        <v>677960</v>
      </c>
      <c r="D141" s="55">
        <v>32495</v>
      </c>
      <c r="E141" s="55">
        <v>15997</v>
      </c>
      <c r="F141" s="55">
        <v>1500</v>
      </c>
      <c r="G141" s="55">
        <f t="shared" si="29"/>
        <v>49992</v>
      </c>
      <c r="H141" s="63">
        <v>363072</v>
      </c>
      <c r="I141" s="63">
        <v>178743</v>
      </c>
      <c r="J141" s="63">
        <v>16757</v>
      </c>
      <c r="K141" s="63">
        <f t="shared" si="30"/>
        <v>558572</v>
      </c>
      <c r="L141" s="63">
        <v>45107</v>
      </c>
      <c r="M141" s="63">
        <v>22207</v>
      </c>
      <c r="N141" s="63">
        <v>2082</v>
      </c>
      <c r="O141" s="63">
        <f t="shared" si="31"/>
        <v>69396</v>
      </c>
      <c r="R141" s="62">
        <f t="shared" si="32"/>
        <v>677960</v>
      </c>
      <c r="S141" s="62"/>
    </row>
    <row r="142" spans="1:19" customFormat="1" ht="45" hidden="1" x14ac:dyDescent="0.25">
      <c r="A142" s="56" t="s">
        <v>30</v>
      </c>
      <c r="B142" s="54" t="s">
        <v>2</v>
      </c>
      <c r="C142" s="55">
        <v>41607</v>
      </c>
      <c r="D142" s="55">
        <v>1178</v>
      </c>
      <c r="E142" s="55">
        <v>0</v>
      </c>
      <c r="F142" s="55">
        <v>0</v>
      </c>
      <c r="G142" s="55">
        <f t="shared" si="29"/>
        <v>1178</v>
      </c>
      <c r="H142" s="63">
        <v>34832</v>
      </c>
      <c r="I142" s="63">
        <v>0</v>
      </c>
      <c r="J142" s="63">
        <v>0</v>
      </c>
      <c r="K142" s="63">
        <f t="shared" si="30"/>
        <v>34832</v>
      </c>
      <c r="L142" s="63">
        <v>5597</v>
      </c>
      <c r="M142" s="63">
        <v>0</v>
      </c>
      <c r="N142" s="63">
        <v>0</v>
      </c>
      <c r="O142" s="63">
        <f t="shared" si="31"/>
        <v>5597</v>
      </c>
      <c r="R142" s="62">
        <f t="shared" si="32"/>
        <v>41607</v>
      </c>
      <c r="S142" s="62"/>
    </row>
    <row r="143" spans="1:19" customFormat="1" ht="30" hidden="1" x14ac:dyDescent="0.25">
      <c r="A143" s="56" t="s">
        <v>31</v>
      </c>
      <c r="B143" s="54" t="s">
        <v>1</v>
      </c>
      <c r="C143" s="55">
        <v>24773</v>
      </c>
      <c r="D143" s="55">
        <v>1843</v>
      </c>
      <c r="E143" s="55">
        <v>0</v>
      </c>
      <c r="F143" s="55">
        <v>0</v>
      </c>
      <c r="G143" s="55">
        <f t="shared" si="29"/>
        <v>1843</v>
      </c>
      <c r="H143" s="63">
        <v>21931</v>
      </c>
      <c r="I143" s="63">
        <v>0</v>
      </c>
      <c r="J143" s="63">
        <v>0</v>
      </c>
      <c r="K143" s="63">
        <f t="shared" si="30"/>
        <v>21931</v>
      </c>
      <c r="L143" s="63">
        <v>999</v>
      </c>
      <c r="M143" s="63">
        <v>0</v>
      </c>
      <c r="N143" s="63">
        <v>0</v>
      </c>
      <c r="O143" s="63">
        <f t="shared" si="31"/>
        <v>999</v>
      </c>
      <c r="R143" s="62">
        <f t="shared" si="32"/>
        <v>24773</v>
      </c>
      <c r="S143" s="62"/>
    </row>
    <row r="144" spans="1:19" customFormat="1" hidden="1" x14ac:dyDescent="0.25">
      <c r="A144" s="56" t="s">
        <v>32</v>
      </c>
      <c r="B144" s="54" t="s">
        <v>73</v>
      </c>
      <c r="C144" s="55">
        <v>21248</v>
      </c>
      <c r="D144" s="55">
        <v>4180</v>
      </c>
      <c r="E144" s="55">
        <v>0</v>
      </c>
      <c r="F144" s="55">
        <v>0</v>
      </c>
      <c r="G144" s="55">
        <f t="shared" si="29"/>
        <v>4180</v>
      </c>
      <c r="H144" s="63">
        <v>13680</v>
      </c>
      <c r="I144" s="63">
        <v>0</v>
      </c>
      <c r="J144" s="63">
        <v>0</v>
      </c>
      <c r="K144" s="63">
        <f t="shared" si="30"/>
        <v>13680</v>
      </c>
      <c r="L144" s="63">
        <v>3388</v>
      </c>
      <c r="M144" s="63">
        <v>0</v>
      </c>
      <c r="N144" s="63">
        <v>0</v>
      </c>
      <c r="O144" s="63">
        <f t="shared" si="31"/>
        <v>3388</v>
      </c>
      <c r="R144" s="62">
        <f t="shared" si="32"/>
        <v>21248</v>
      </c>
      <c r="S144" s="62"/>
    </row>
    <row r="145" spans="1:34" ht="33" hidden="1" customHeight="1" x14ac:dyDescent="0.25">
      <c r="A145" s="56" t="s">
        <v>90</v>
      </c>
      <c r="B145" s="70" t="s">
        <v>91</v>
      </c>
      <c r="C145" s="55">
        <f>E145+I145+M145</f>
        <v>61662</v>
      </c>
      <c r="D145" s="55">
        <v>0</v>
      </c>
      <c r="E145" s="55">
        <v>10436</v>
      </c>
      <c r="F145" s="55">
        <v>0</v>
      </c>
      <c r="G145" s="55">
        <f t="shared" si="29"/>
        <v>10436</v>
      </c>
      <c r="H145" s="63">
        <v>0</v>
      </c>
      <c r="I145" s="63">
        <v>34306</v>
      </c>
      <c r="J145" s="63">
        <v>0</v>
      </c>
      <c r="K145" s="63">
        <f t="shared" si="30"/>
        <v>34306</v>
      </c>
      <c r="L145" s="63">
        <v>0</v>
      </c>
      <c r="M145" s="63">
        <v>16920</v>
      </c>
      <c r="N145" s="63">
        <v>0</v>
      </c>
      <c r="O145" s="63">
        <f t="shared" si="31"/>
        <v>16920</v>
      </c>
      <c r="R145" s="62">
        <f t="shared" si="32"/>
        <v>61662</v>
      </c>
      <c r="S145" s="62"/>
    </row>
    <row r="146" spans="1:34" ht="25.5" hidden="1" customHeight="1" x14ac:dyDescent="0.25">
      <c r="A146" s="57"/>
      <c r="B146" s="57" t="s">
        <v>0</v>
      </c>
      <c r="C146" s="58">
        <f>SUM(C128:C145)</f>
        <v>8609468</v>
      </c>
      <c r="D146" s="58">
        <f t="shared" ref="D146:O146" si="33">SUM(D128:D145)</f>
        <v>323965</v>
      </c>
      <c r="E146" s="58">
        <f t="shared" si="33"/>
        <v>574427</v>
      </c>
      <c r="F146" s="58">
        <f t="shared" si="33"/>
        <v>9025</v>
      </c>
      <c r="G146" s="58">
        <f t="shared" si="33"/>
        <v>907417</v>
      </c>
      <c r="H146" s="58">
        <f t="shared" si="33"/>
        <v>2252107</v>
      </c>
      <c r="I146" s="58">
        <f t="shared" si="33"/>
        <v>4151535</v>
      </c>
      <c r="J146" s="58">
        <f t="shared" si="33"/>
        <v>75687</v>
      </c>
      <c r="K146" s="58">
        <f t="shared" si="33"/>
        <v>6479329</v>
      </c>
      <c r="L146" s="58">
        <f t="shared" si="33"/>
        <v>348601</v>
      </c>
      <c r="M146" s="58">
        <f t="shared" si="33"/>
        <v>863189</v>
      </c>
      <c r="N146" s="58">
        <f t="shared" si="33"/>
        <v>10932</v>
      </c>
      <c r="O146" s="58">
        <f t="shared" si="33"/>
        <v>1222722</v>
      </c>
      <c r="R146" s="62">
        <f t="shared" si="32"/>
        <v>8609468</v>
      </c>
      <c r="S146" s="62"/>
    </row>
    <row r="147" spans="1:34" hidden="1" x14ac:dyDescent="0.25"/>
    <row r="148" spans="1:34" s="4" customFormat="1" ht="28.5" hidden="1" customHeight="1" x14ac:dyDescent="0.25">
      <c r="A148" s="152" t="s">
        <v>17</v>
      </c>
      <c r="B148" s="152" t="s">
        <v>33</v>
      </c>
      <c r="C148" s="152" t="s">
        <v>79</v>
      </c>
      <c r="D148" s="152" t="s">
        <v>69</v>
      </c>
      <c r="E148" s="152"/>
      <c r="F148" s="152"/>
      <c r="G148" s="152"/>
      <c r="H148" s="152"/>
      <c r="I148" s="152"/>
      <c r="J148" s="152"/>
      <c r="K148" s="152"/>
      <c r="L148" s="152"/>
      <c r="M148" s="152"/>
      <c r="N148" s="152"/>
      <c r="O148" s="152"/>
      <c r="R148" s="61"/>
      <c r="S148" s="61"/>
      <c r="V148" s="61"/>
      <c r="W148" s="61"/>
      <c r="X148" s="61"/>
      <c r="Y148" s="61"/>
      <c r="Z148" s="61"/>
      <c r="AC148" s="95"/>
      <c r="AD148" s="95"/>
      <c r="AE148" s="95"/>
      <c r="AF148" s="95"/>
      <c r="AG148" s="93"/>
      <c r="AH148" s="95"/>
    </row>
    <row r="149" spans="1:34" s="4" customFormat="1" ht="41.25" hidden="1" customHeight="1" x14ac:dyDescent="0.25">
      <c r="A149" s="152"/>
      <c r="B149" s="152"/>
      <c r="C149" s="152"/>
      <c r="D149" s="154" t="s">
        <v>36</v>
      </c>
      <c r="E149" s="154"/>
      <c r="F149" s="154"/>
      <c r="G149" s="154"/>
      <c r="H149" s="155" t="s">
        <v>37</v>
      </c>
      <c r="I149" s="156"/>
      <c r="J149" s="156"/>
      <c r="K149" s="157"/>
      <c r="L149" s="155" t="s">
        <v>38</v>
      </c>
      <c r="M149" s="156"/>
      <c r="N149" s="156"/>
      <c r="O149" s="157"/>
      <c r="R149" s="61"/>
      <c r="S149" s="61"/>
      <c r="V149" s="61"/>
      <c r="W149" s="61"/>
      <c r="X149" s="61"/>
      <c r="Y149" s="61"/>
      <c r="Z149" s="61"/>
      <c r="AC149" s="95"/>
      <c r="AD149" s="95"/>
      <c r="AE149" s="95"/>
      <c r="AF149" s="95"/>
      <c r="AG149" s="93"/>
      <c r="AH149" s="95"/>
    </row>
    <row r="150" spans="1:34" s="4" customFormat="1" ht="59.25" hidden="1" customHeight="1" x14ac:dyDescent="0.25">
      <c r="A150" s="152"/>
      <c r="B150" s="152"/>
      <c r="C150" s="152"/>
      <c r="D150" s="109" t="s">
        <v>66</v>
      </c>
      <c r="E150" s="109" t="s">
        <v>67</v>
      </c>
      <c r="F150" s="109" t="s">
        <v>68</v>
      </c>
      <c r="G150" s="109" t="s">
        <v>70</v>
      </c>
      <c r="H150" s="65" t="s">
        <v>66</v>
      </c>
      <c r="I150" s="65" t="s">
        <v>67</v>
      </c>
      <c r="J150" s="65" t="s">
        <v>68</v>
      </c>
      <c r="K150" s="65" t="s">
        <v>71</v>
      </c>
      <c r="L150" s="65" t="s">
        <v>66</v>
      </c>
      <c r="M150" s="65" t="s">
        <v>67</v>
      </c>
      <c r="N150" s="65" t="s">
        <v>68</v>
      </c>
      <c r="O150" s="65" t="s">
        <v>72</v>
      </c>
      <c r="R150" s="61"/>
      <c r="S150" s="61"/>
      <c r="V150" s="61"/>
      <c r="W150" s="61"/>
      <c r="X150" s="61"/>
      <c r="Y150" s="61"/>
      <c r="Z150" s="61"/>
      <c r="AC150" s="95"/>
      <c r="AD150" s="95"/>
      <c r="AE150" s="95"/>
      <c r="AF150" s="95"/>
      <c r="AG150" s="93"/>
      <c r="AH150" s="95"/>
    </row>
    <row r="151" spans="1:34" s="3" customFormat="1" ht="14.25" hidden="1" customHeight="1" x14ac:dyDescent="0.25">
      <c r="A151" s="53">
        <v>1</v>
      </c>
      <c r="B151" s="53">
        <v>2</v>
      </c>
      <c r="C151" s="53">
        <v>3</v>
      </c>
      <c r="D151" s="53">
        <v>4</v>
      </c>
      <c r="E151" s="53">
        <v>5</v>
      </c>
      <c r="F151" s="53">
        <v>6</v>
      </c>
      <c r="G151" s="53">
        <v>7</v>
      </c>
      <c r="H151" s="66">
        <v>8</v>
      </c>
      <c r="I151" s="66">
        <v>9</v>
      </c>
      <c r="J151" s="66">
        <v>10</v>
      </c>
      <c r="K151" s="66">
        <v>11</v>
      </c>
      <c r="L151" s="66">
        <v>12</v>
      </c>
      <c r="M151" s="66">
        <v>13</v>
      </c>
      <c r="N151" s="66">
        <v>14</v>
      </c>
      <c r="O151" s="66">
        <v>15</v>
      </c>
      <c r="R151" s="61"/>
      <c r="S151" s="61"/>
      <c r="V151" s="61"/>
      <c r="W151" s="61"/>
      <c r="X151" s="61"/>
      <c r="Y151" s="61"/>
      <c r="Z151" s="61"/>
      <c r="AC151" s="95"/>
      <c r="AD151" s="95"/>
      <c r="AE151" s="95"/>
      <c r="AF151" s="95"/>
      <c r="AG151" s="94"/>
      <c r="AH151" s="95"/>
    </row>
    <row r="152" spans="1:34" s="3" customFormat="1" ht="25.5" hidden="1" customHeight="1" x14ac:dyDescent="0.25">
      <c r="A152" s="53" t="s">
        <v>16</v>
      </c>
      <c r="B152" s="54" t="s">
        <v>15</v>
      </c>
      <c r="C152" s="55">
        <v>2208960</v>
      </c>
      <c r="D152" s="55">
        <v>70966</v>
      </c>
      <c r="E152" s="55">
        <v>273698</v>
      </c>
      <c r="F152" s="55">
        <v>0</v>
      </c>
      <c r="G152" s="55">
        <f>D152+E152+F152</f>
        <v>344664</v>
      </c>
      <c r="H152" s="63">
        <v>299238</v>
      </c>
      <c r="I152" s="63">
        <v>1154081</v>
      </c>
      <c r="J152" s="63">
        <v>0</v>
      </c>
      <c r="K152" s="63">
        <f>H152+I152+J152</f>
        <v>1453319</v>
      </c>
      <c r="L152" s="63">
        <v>84620</v>
      </c>
      <c r="M152" s="63">
        <v>326357</v>
      </c>
      <c r="N152" s="63">
        <v>0</v>
      </c>
      <c r="O152" s="63">
        <f>L152+M152+N152</f>
        <v>410977</v>
      </c>
      <c r="R152" s="62">
        <f>G152+K152+O152</f>
        <v>2208960</v>
      </c>
      <c r="S152" s="62"/>
      <c r="V152" s="61"/>
      <c r="W152" s="61"/>
      <c r="X152" s="61"/>
      <c r="Y152" s="61"/>
      <c r="Z152" s="61"/>
      <c r="AC152" s="95"/>
      <c r="AD152" s="95"/>
      <c r="AE152" s="95"/>
      <c r="AF152" s="95"/>
      <c r="AG152" s="94"/>
      <c r="AH152" s="95"/>
    </row>
    <row r="153" spans="1:34" ht="40.5" hidden="1" customHeight="1" x14ac:dyDescent="0.25">
      <c r="A153" s="56" t="s">
        <v>24</v>
      </c>
      <c r="B153" s="54" t="s">
        <v>14</v>
      </c>
      <c r="C153" s="55">
        <v>271373</v>
      </c>
      <c r="D153" s="55">
        <v>28522</v>
      </c>
      <c r="E153" s="55">
        <v>26857</v>
      </c>
      <c r="F153" s="55">
        <v>855</v>
      </c>
      <c r="G153" s="55">
        <f t="shared" ref="G153:G169" si="34">D153+E153+F153</f>
        <v>56234</v>
      </c>
      <c r="H153" s="63">
        <v>83820</v>
      </c>
      <c r="I153" s="63">
        <v>78929</v>
      </c>
      <c r="J153" s="63">
        <v>2512</v>
      </c>
      <c r="K153" s="63">
        <f t="shared" ref="K153:K169" si="35">H153+I153+J153</f>
        <v>165261</v>
      </c>
      <c r="L153" s="63">
        <v>25298</v>
      </c>
      <c r="M153" s="63">
        <v>23822</v>
      </c>
      <c r="N153" s="63">
        <v>758</v>
      </c>
      <c r="O153" s="63">
        <f t="shared" ref="O153:O169" si="36">L153+M153+N153</f>
        <v>49878</v>
      </c>
      <c r="R153" s="62">
        <f t="shared" ref="R153:R170" si="37">G153+K153+O153</f>
        <v>271373</v>
      </c>
      <c r="S153" s="62"/>
    </row>
    <row r="154" spans="1:34" ht="34.5" hidden="1" customHeight="1" x14ac:dyDescent="0.25">
      <c r="A154" s="56" t="s">
        <v>23</v>
      </c>
      <c r="B154" s="54" t="s">
        <v>13</v>
      </c>
      <c r="C154" s="55">
        <v>539868</v>
      </c>
      <c r="D154" s="55">
        <v>0</v>
      </c>
      <c r="E154" s="55">
        <v>30600</v>
      </c>
      <c r="F154" s="55">
        <v>0</v>
      </c>
      <c r="G154" s="55">
        <f t="shared" si="34"/>
        <v>30600</v>
      </c>
      <c r="H154" s="63">
        <v>0</v>
      </c>
      <c r="I154" s="63">
        <v>453570</v>
      </c>
      <c r="J154" s="63">
        <v>0</v>
      </c>
      <c r="K154" s="63">
        <f t="shared" si="35"/>
        <v>453570</v>
      </c>
      <c r="L154" s="63">
        <v>0</v>
      </c>
      <c r="M154" s="63">
        <v>55698</v>
      </c>
      <c r="N154" s="63">
        <v>0</v>
      </c>
      <c r="O154" s="63">
        <f t="shared" si="36"/>
        <v>55698</v>
      </c>
      <c r="R154" s="62">
        <f t="shared" si="37"/>
        <v>539868</v>
      </c>
      <c r="S154" s="62"/>
    </row>
    <row r="155" spans="1:34" ht="40.5" hidden="1" customHeight="1" x14ac:dyDescent="0.25">
      <c r="A155" s="56" t="s">
        <v>22</v>
      </c>
      <c r="B155" s="54" t="s">
        <v>12</v>
      </c>
      <c r="C155" s="55">
        <v>313207</v>
      </c>
      <c r="D155" s="55">
        <v>36028</v>
      </c>
      <c r="E155" s="55">
        <v>0</v>
      </c>
      <c r="F155" s="55">
        <v>0</v>
      </c>
      <c r="G155" s="55">
        <f t="shared" si="34"/>
        <v>36028</v>
      </c>
      <c r="H155" s="63">
        <v>234317</v>
      </c>
      <c r="I155" s="63">
        <v>0</v>
      </c>
      <c r="J155" s="63">
        <v>0</v>
      </c>
      <c r="K155" s="63">
        <f t="shared" si="35"/>
        <v>234317</v>
      </c>
      <c r="L155" s="63">
        <v>42862</v>
      </c>
      <c r="M155" s="63">
        <v>0</v>
      </c>
      <c r="N155" s="63">
        <v>0</v>
      </c>
      <c r="O155" s="63">
        <f t="shared" si="36"/>
        <v>42862</v>
      </c>
      <c r="R155" s="62">
        <f t="shared" si="37"/>
        <v>313207</v>
      </c>
      <c r="S155" s="62"/>
    </row>
    <row r="156" spans="1:34" ht="39.75" hidden="1" customHeight="1" x14ac:dyDescent="0.25">
      <c r="A156" s="56" t="s">
        <v>21</v>
      </c>
      <c r="B156" s="54" t="s">
        <v>11</v>
      </c>
      <c r="C156" s="55">
        <v>102545</v>
      </c>
      <c r="D156" s="55">
        <v>4041</v>
      </c>
      <c r="E156" s="55">
        <v>6330</v>
      </c>
      <c r="F156" s="55">
        <v>2740</v>
      </c>
      <c r="G156" s="55">
        <f t="shared" si="34"/>
        <v>13111</v>
      </c>
      <c r="H156" s="63">
        <v>21435</v>
      </c>
      <c r="I156" s="63">
        <v>33577</v>
      </c>
      <c r="J156" s="63">
        <v>14535</v>
      </c>
      <c r="K156" s="63">
        <f t="shared" si="35"/>
        <v>69547</v>
      </c>
      <c r="L156" s="63">
        <v>6129</v>
      </c>
      <c r="M156" s="63">
        <v>9602</v>
      </c>
      <c r="N156" s="63">
        <v>4156</v>
      </c>
      <c r="O156" s="63">
        <f t="shared" si="36"/>
        <v>19887</v>
      </c>
      <c r="R156" s="62">
        <f t="shared" si="37"/>
        <v>102545</v>
      </c>
      <c r="S156" s="62"/>
    </row>
    <row r="157" spans="1:34" ht="28.5" hidden="1" customHeight="1" x14ac:dyDescent="0.25">
      <c r="A157" s="56" t="s">
        <v>20</v>
      </c>
      <c r="B157" s="54" t="s">
        <v>34</v>
      </c>
      <c r="C157" s="55">
        <v>211978</v>
      </c>
      <c r="D157" s="55">
        <v>39678</v>
      </c>
      <c r="E157" s="55">
        <v>0</v>
      </c>
      <c r="F157" s="55">
        <v>0</v>
      </c>
      <c r="G157" s="55">
        <f t="shared" si="34"/>
        <v>39678</v>
      </c>
      <c r="H157" s="63">
        <v>129512</v>
      </c>
      <c r="I157" s="63">
        <v>0</v>
      </c>
      <c r="J157" s="63">
        <v>0</v>
      </c>
      <c r="K157" s="63">
        <f t="shared" si="35"/>
        <v>129512</v>
      </c>
      <c r="L157" s="63">
        <v>42788</v>
      </c>
      <c r="M157" s="63">
        <v>0</v>
      </c>
      <c r="N157" s="63">
        <v>0</v>
      </c>
      <c r="O157" s="63">
        <f t="shared" si="36"/>
        <v>42788</v>
      </c>
      <c r="R157" s="62">
        <f t="shared" si="37"/>
        <v>211978</v>
      </c>
      <c r="S157" s="62"/>
    </row>
    <row r="158" spans="1:34" ht="34.5" hidden="1" customHeight="1" x14ac:dyDescent="0.25">
      <c r="A158" s="56" t="s">
        <v>19</v>
      </c>
      <c r="B158" s="54" t="s">
        <v>10</v>
      </c>
      <c r="C158" s="55">
        <v>795293</v>
      </c>
      <c r="D158" s="55">
        <v>17266</v>
      </c>
      <c r="E158" s="55">
        <v>22587</v>
      </c>
      <c r="F158" s="55">
        <v>1081</v>
      </c>
      <c r="G158" s="55">
        <f t="shared" si="34"/>
        <v>40934</v>
      </c>
      <c r="H158" s="63">
        <v>268538</v>
      </c>
      <c r="I158" s="63">
        <v>351302</v>
      </c>
      <c r="J158" s="63">
        <v>16808</v>
      </c>
      <c r="K158" s="63">
        <f t="shared" si="35"/>
        <v>636648</v>
      </c>
      <c r="L158" s="63">
        <v>49651</v>
      </c>
      <c r="M158" s="63">
        <v>64953</v>
      </c>
      <c r="N158" s="63">
        <v>3107</v>
      </c>
      <c r="O158" s="63">
        <f t="shared" si="36"/>
        <v>117711</v>
      </c>
      <c r="R158" s="62">
        <f t="shared" si="37"/>
        <v>795293</v>
      </c>
      <c r="S158" s="62"/>
    </row>
    <row r="159" spans="1:34" ht="25.5" hidden="1" customHeight="1" x14ac:dyDescent="0.25">
      <c r="A159" s="56" t="s">
        <v>18</v>
      </c>
      <c r="B159" s="54" t="s">
        <v>9</v>
      </c>
      <c r="C159" s="55">
        <v>324158</v>
      </c>
      <c r="D159" s="55">
        <v>18450</v>
      </c>
      <c r="E159" s="55">
        <v>59627</v>
      </c>
      <c r="F159" s="55">
        <v>0</v>
      </c>
      <c r="G159" s="55">
        <f t="shared" si="34"/>
        <v>78077</v>
      </c>
      <c r="H159" s="63">
        <v>57648</v>
      </c>
      <c r="I159" s="63">
        <v>186313</v>
      </c>
      <c r="J159" s="63">
        <v>0</v>
      </c>
      <c r="K159" s="63">
        <f t="shared" si="35"/>
        <v>243961</v>
      </c>
      <c r="L159" s="63">
        <v>501</v>
      </c>
      <c r="M159" s="63">
        <v>1619</v>
      </c>
      <c r="N159" s="63">
        <v>0</v>
      </c>
      <c r="O159" s="63">
        <f t="shared" si="36"/>
        <v>2120</v>
      </c>
      <c r="R159" s="62">
        <f t="shared" si="37"/>
        <v>324158</v>
      </c>
      <c r="S159" s="62"/>
    </row>
    <row r="160" spans="1:34" ht="25.5" hidden="1" customHeight="1" x14ac:dyDescent="0.25">
      <c r="A160" s="56" t="s">
        <v>25</v>
      </c>
      <c r="B160" s="54" t="s">
        <v>8</v>
      </c>
      <c r="C160" s="55">
        <v>945273</v>
      </c>
      <c r="D160" s="55">
        <v>5321</v>
      </c>
      <c r="E160" s="55">
        <v>32018</v>
      </c>
      <c r="F160" s="55">
        <v>0</v>
      </c>
      <c r="G160" s="55">
        <f t="shared" si="34"/>
        <v>37339</v>
      </c>
      <c r="H160" s="63">
        <v>86354</v>
      </c>
      <c r="I160" s="63">
        <v>519641</v>
      </c>
      <c r="J160" s="63">
        <v>0</v>
      </c>
      <c r="K160" s="63">
        <f t="shared" si="35"/>
        <v>605995</v>
      </c>
      <c r="L160" s="63">
        <v>43026</v>
      </c>
      <c r="M160" s="63">
        <v>258913</v>
      </c>
      <c r="N160" s="63">
        <v>0</v>
      </c>
      <c r="O160" s="63">
        <f t="shared" si="36"/>
        <v>301939</v>
      </c>
      <c r="R160" s="62">
        <f t="shared" si="37"/>
        <v>945273</v>
      </c>
      <c r="S160" s="62"/>
    </row>
    <row r="161" spans="1:34" ht="25.5" hidden="1" customHeight="1" x14ac:dyDescent="0.25">
      <c r="A161" s="56" t="s">
        <v>26</v>
      </c>
      <c r="B161" s="54" t="s">
        <v>7</v>
      </c>
      <c r="C161" s="55">
        <v>547001</v>
      </c>
      <c r="D161" s="55">
        <v>1243</v>
      </c>
      <c r="E161" s="55">
        <v>8751</v>
      </c>
      <c r="F161" s="55">
        <v>0</v>
      </c>
      <c r="G161" s="55">
        <f t="shared" si="34"/>
        <v>9994</v>
      </c>
      <c r="H161" s="63">
        <v>60737</v>
      </c>
      <c r="I161" s="63">
        <v>427505</v>
      </c>
      <c r="J161" s="63">
        <v>0</v>
      </c>
      <c r="K161" s="63">
        <f t="shared" si="35"/>
        <v>488242</v>
      </c>
      <c r="L161" s="63">
        <v>6066</v>
      </c>
      <c r="M161" s="63">
        <v>42699</v>
      </c>
      <c r="N161" s="63">
        <v>0</v>
      </c>
      <c r="O161" s="63">
        <f t="shared" si="36"/>
        <v>48765</v>
      </c>
      <c r="R161" s="62">
        <f t="shared" si="37"/>
        <v>547001</v>
      </c>
      <c r="S161" s="62"/>
    </row>
    <row r="162" spans="1:34" ht="25.5" hidden="1" customHeight="1" x14ac:dyDescent="0.25">
      <c r="A162" s="56" t="s">
        <v>27</v>
      </c>
      <c r="B162" s="54" t="s">
        <v>6</v>
      </c>
      <c r="C162" s="55">
        <v>275216</v>
      </c>
      <c r="D162" s="55">
        <v>985</v>
      </c>
      <c r="E162" s="55">
        <v>911</v>
      </c>
      <c r="F162" s="55">
        <v>22</v>
      </c>
      <c r="G162" s="55">
        <f t="shared" si="34"/>
        <v>1918</v>
      </c>
      <c r="H162" s="63">
        <v>140181</v>
      </c>
      <c r="I162" s="63">
        <v>129593</v>
      </c>
      <c r="J162" s="63">
        <v>3111</v>
      </c>
      <c r="K162" s="63">
        <f t="shared" si="35"/>
        <v>272885</v>
      </c>
      <c r="L162" s="63">
        <v>212</v>
      </c>
      <c r="M162" s="63">
        <v>196</v>
      </c>
      <c r="N162" s="63">
        <v>5</v>
      </c>
      <c r="O162" s="63">
        <f t="shared" si="36"/>
        <v>413</v>
      </c>
      <c r="R162" s="62">
        <f t="shared" si="37"/>
        <v>275216</v>
      </c>
      <c r="S162" s="62"/>
    </row>
    <row r="163" spans="1:34" ht="25.5" hidden="1" customHeight="1" x14ac:dyDescent="0.25">
      <c r="A163" s="56" t="s">
        <v>28</v>
      </c>
      <c r="B163" s="54" t="s">
        <v>5</v>
      </c>
      <c r="C163" s="55">
        <v>576190</v>
      </c>
      <c r="D163" s="55">
        <v>22049</v>
      </c>
      <c r="E163" s="55">
        <v>54837</v>
      </c>
      <c r="F163" s="55">
        <v>2830</v>
      </c>
      <c r="G163" s="55">
        <f t="shared" si="34"/>
        <v>79716</v>
      </c>
      <c r="H163" s="63">
        <v>135988</v>
      </c>
      <c r="I163" s="63">
        <v>338199</v>
      </c>
      <c r="J163" s="63">
        <v>17453</v>
      </c>
      <c r="K163" s="63">
        <f t="shared" si="35"/>
        <v>491640</v>
      </c>
      <c r="L163" s="63">
        <v>1337</v>
      </c>
      <c r="M163" s="63">
        <v>3325</v>
      </c>
      <c r="N163" s="63">
        <v>172</v>
      </c>
      <c r="O163" s="63">
        <f t="shared" si="36"/>
        <v>4834</v>
      </c>
      <c r="R163" s="62">
        <f t="shared" si="37"/>
        <v>576190</v>
      </c>
      <c r="S163" s="62"/>
    </row>
    <row r="164" spans="1:34" ht="25.5" hidden="1" customHeight="1" x14ac:dyDescent="0.25">
      <c r="A164" s="56" t="s">
        <v>29</v>
      </c>
      <c r="B164" s="54" t="s">
        <v>4</v>
      </c>
      <c r="C164" s="55">
        <v>292894</v>
      </c>
      <c r="D164" s="55">
        <v>5680</v>
      </c>
      <c r="E164" s="55">
        <v>9571</v>
      </c>
      <c r="F164" s="55">
        <v>395</v>
      </c>
      <c r="G164" s="55">
        <f t="shared" si="34"/>
        <v>15646</v>
      </c>
      <c r="H164" s="63">
        <v>97316</v>
      </c>
      <c r="I164" s="63">
        <v>163990</v>
      </c>
      <c r="J164" s="63">
        <v>6783</v>
      </c>
      <c r="K164" s="63">
        <f t="shared" si="35"/>
        <v>268089</v>
      </c>
      <c r="L164" s="63">
        <v>3325</v>
      </c>
      <c r="M164" s="63">
        <v>5602</v>
      </c>
      <c r="N164" s="63">
        <v>232</v>
      </c>
      <c r="O164" s="63">
        <f t="shared" si="36"/>
        <v>9159</v>
      </c>
      <c r="R164" s="62">
        <f t="shared" si="37"/>
        <v>292894</v>
      </c>
      <c r="S164" s="62"/>
    </row>
    <row r="165" spans="1:34" ht="25.5" hidden="1" customHeight="1" x14ac:dyDescent="0.25">
      <c r="A165" s="56">
        <v>14</v>
      </c>
      <c r="B165" s="54" t="s">
        <v>3</v>
      </c>
      <c r="C165" s="55">
        <v>677961</v>
      </c>
      <c r="D165" s="55">
        <v>32495</v>
      </c>
      <c r="E165" s="55">
        <v>15998</v>
      </c>
      <c r="F165" s="55">
        <v>1500</v>
      </c>
      <c r="G165" s="55">
        <f t="shared" si="34"/>
        <v>49993</v>
      </c>
      <c r="H165" s="63">
        <v>363072</v>
      </c>
      <c r="I165" s="63">
        <v>178743</v>
      </c>
      <c r="J165" s="63">
        <v>16757</v>
      </c>
      <c r="K165" s="63">
        <f t="shared" si="35"/>
        <v>558572</v>
      </c>
      <c r="L165" s="63">
        <v>45107</v>
      </c>
      <c r="M165" s="63">
        <v>22207</v>
      </c>
      <c r="N165" s="63">
        <v>2082</v>
      </c>
      <c r="O165" s="63">
        <f t="shared" si="36"/>
        <v>69396</v>
      </c>
      <c r="R165" s="62">
        <f t="shared" si="37"/>
        <v>677961</v>
      </c>
      <c r="S165" s="62"/>
    </row>
    <row r="166" spans="1:34" ht="54" hidden="1" customHeight="1" x14ac:dyDescent="0.25">
      <c r="A166" s="56" t="s">
        <v>30</v>
      </c>
      <c r="B166" s="54" t="s">
        <v>2</v>
      </c>
      <c r="C166" s="55">
        <v>39648</v>
      </c>
      <c r="D166" s="55">
        <v>1123</v>
      </c>
      <c r="E166" s="55">
        <v>0</v>
      </c>
      <c r="F166" s="55">
        <v>0</v>
      </c>
      <c r="G166" s="55">
        <f t="shared" si="34"/>
        <v>1123</v>
      </c>
      <c r="H166" s="63">
        <v>33192</v>
      </c>
      <c r="I166" s="63">
        <v>0</v>
      </c>
      <c r="J166" s="63">
        <v>0</v>
      </c>
      <c r="K166" s="63">
        <f t="shared" si="35"/>
        <v>33192</v>
      </c>
      <c r="L166" s="63">
        <v>5333</v>
      </c>
      <c r="M166" s="63">
        <v>0</v>
      </c>
      <c r="N166" s="63">
        <v>0</v>
      </c>
      <c r="O166" s="63">
        <f t="shared" si="36"/>
        <v>5333</v>
      </c>
      <c r="R166" s="62">
        <f t="shared" si="37"/>
        <v>39648</v>
      </c>
      <c r="S166" s="62"/>
    </row>
    <row r="167" spans="1:34" ht="39.75" hidden="1" customHeight="1" x14ac:dyDescent="0.25">
      <c r="A167" s="56" t="s">
        <v>31</v>
      </c>
      <c r="B167" s="54" t="s">
        <v>1</v>
      </c>
      <c r="C167" s="55">
        <v>37872</v>
      </c>
      <c r="D167" s="55">
        <v>2817</v>
      </c>
      <c r="E167" s="55">
        <v>0</v>
      </c>
      <c r="F167" s="55">
        <v>0</v>
      </c>
      <c r="G167" s="55">
        <f t="shared" si="34"/>
        <v>2817</v>
      </c>
      <c r="H167" s="63">
        <v>33527</v>
      </c>
      <c r="I167" s="63">
        <v>0</v>
      </c>
      <c r="J167" s="63">
        <v>0</v>
      </c>
      <c r="K167" s="63">
        <f t="shared" si="35"/>
        <v>33527</v>
      </c>
      <c r="L167" s="63">
        <v>1528</v>
      </c>
      <c r="M167" s="63">
        <v>0</v>
      </c>
      <c r="N167" s="63">
        <v>0</v>
      </c>
      <c r="O167" s="63">
        <f t="shared" si="36"/>
        <v>1528</v>
      </c>
      <c r="R167" s="62">
        <f t="shared" si="37"/>
        <v>37872</v>
      </c>
      <c r="S167" s="62"/>
    </row>
    <row r="168" spans="1:34" ht="33" hidden="1" customHeight="1" x14ac:dyDescent="0.25">
      <c r="A168" s="56" t="s">
        <v>32</v>
      </c>
      <c r="B168" s="54" t="s">
        <v>73</v>
      </c>
      <c r="C168" s="55">
        <v>21248</v>
      </c>
      <c r="D168" s="55">
        <v>4180</v>
      </c>
      <c r="E168" s="55">
        <v>0</v>
      </c>
      <c r="F168" s="55">
        <v>0</v>
      </c>
      <c r="G168" s="55">
        <f t="shared" si="34"/>
        <v>4180</v>
      </c>
      <c r="H168" s="63">
        <v>13680</v>
      </c>
      <c r="I168" s="63">
        <v>0</v>
      </c>
      <c r="J168" s="63">
        <v>0</v>
      </c>
      <c r="K168" s="63">
        <f t="shared" si="35"/>
        <v>13680</v>
      </c>
      <c r="L168" s="63">
        <v>3388</v>
      </c>
      <c r="M168" s="63">
        <v>0</v>
      </c>
      <c r="N168" s="63">
        <v>0</v>
      </c>
      <c r="O168" s="63">
        <f t="shared" si="36"/>
        <v>3388</v>
      </c>
      <c r="R168" s="62">
        <f t="shared" si="37"/>
        <v>21248</v>
      </c>
      <c r="S168" s="62"/>
    </row>
    <row r="169" spans="1:34" ht="33" hidden="1" customHeight="1" x14ac:dyDescent="0.25">
      <c r="A169" s="56" t="s">
        <v>90</v>
      </c>
      <c r="B169" s="70" t="s">
        <v>91</v>
      </c>
      <c r="C169" s="55">
        <f>E169+I169+M169</f>
        <v>61662</v>
      </c>
      <c r="D169" s="55">
        <v>0</v>
      </c>
      <c r="E169" s="55">
        <v>10436</v>
      </c>
      <c r="F169" s="55">
        <v>0</v>
      </c>
      <c r="G169" s="55">
        <f t="shared" si="34"/>
        <v>10436</v>
      </c>
      <c r="H169" s="63">
        <v>0</v>
      </c>
      <c r="I169" s="63">
        <v>34306</v>
      </c>
      <c r="J169" s="63">
        <v>0</v>
      </c>
      <c r="K169" s="63">
        <f t="shared" si="35"/>
        <v>34306</v>
      </c>
      <c r="L169" s="63">
        <v>0</v>
      </c>
      <c r="M169" s="63">
        <v>16920</v>
      </c>
      <c r="N169" s="63">
        <v>0</v>
      </c>
      <c r="O169" s="63">
        <f t="shared" si="36"/>
        <v>16920</v>
      </c>
      <c r="R169" s="62">
        <f t="shared" si="37"/>
        <v>61662</v>
      </c>
      <c r="S169" s="62"/>
    </row>
    <row r="170" spans="1:34" ht="25.5" hidden="1" customHeight="1" x14ac:dyDescent="0.25">
      <c r="A170" s="57"/>
      <c r="B170" s="57" t="s">
        <v>0</v>
      </c>
      <c r="C170" s="58">
        <f>SUM(C152:C169)</f>
        <v>8242347</v>
      </c>
      <c r="D170" s="58">
        <f t="shared" ref="D170:O170" si="38">SUM(D152:D169)</f>
        <v>290844</v>
      </c>
      <c r="E170" s="58">
        <f t="shared" si="38"/>
        <v>552221</v>
      </c>
      <c r="F170" s="58">
        <f t="shared" si="38"/>
        <v>9423</v>
      </c>
      <c r="G170" s="58">
        <f t="shared" si="38"/>
        <v>852488</v>
      </c>
      <c r="H170" s="58">
        <f t="shared" si="38"/>
        <v>2058555</v>
      </c>
      <c r="I170" s="58">
        <f t="shared" si="38"/>
        <v>4049749</v>
      </c>
      <c r="J170" s="58">
        <f t="shared" si="38"/>
        <v>77959</v>
      </c>
      <c r="K170" s="58">
        <f t="shared" si="38"/>
        <v>6186263</v>
      </c>
      <c r="L170" s="58">
        <f t="shared" si="38"/>
        <v>361171</v>
      </c>
      <c r="M170" s="58">
        <f t="shared" si="38"/>
        <v>831913</v>
      </c>
      <c r="N170" s="58">
        <f t="shared" si="38"/>
        <v>10512</v>
      </c>
      <c r="O170" s="58">
        <f t="shared" si="38"/>
        <v>1203596</v>
      </c>
      <c r="R170" s="62">
        <f t="shared" si="37"/>
        <v>8242347</v>
      </c>
      <c r="S170" s="62"/>
    </row>
    <row r="171" spans="1:34" hidden="1" x14ac:dyDescent="0.25"/>
    <row r="172" spans="1:34" s="4" customFormat="1" ht="28.5" hidden="1" customHeight="1" x14ac:dyDescent="0.25">
      <c r="A172" s="152" t="s">
        <v>17</v>
      </c>
      <c r="B172" s="152" t="s">
        <v>33</v>
      </c>
      <c r="C172" s="159" t="s">
        <v>80</v>
      </c>
      <c r="D172" s="152" t="s">
        <v>69</v>
      </c>
      <c r="E172" s="152"/>
      <c r="F172" s="152"/>
      <c r="G172" s="152"/>
      <c r="H172" s="152"/>
      <c r="I172" s="152"/>
      <c r="J172" s="152"/>
      <c r="K172" s="152"/>
      <c r="L172" s="152"/>
      <c r="M172" s="152"/>
      <c r="N172" s="152"/>
      <c r="O172" s="152"/>
      <c r="R172" s="61"/>
      <c r="S172" s="61"/>
      <c r="V172" s="61"/>
      <c r="W172" s="61"/>
      <c r="X172" s="61"/>
      <c r="Y172" s="61"/>
      <c r="Z172" s="61"/>
      <c r="AC172" s="95"/>
      <c r="AD172" s="95"/>
      <c r="AE172" s="95"/>
      <c r="AF172" s="95"/>
      <c r="AG172" s="93"/>
      <c r="AH172" s="95"/>
    </row>
    <row r="173" spans="1:34" s="4" customFormat="1" ht="41.25" hidden="1" customHeight="1" x14ac:dyDescent="0.25">
      <c r="A173" s="152"/>
      <c r="B173" s="152"/>
      <c r="C173" s="159"/>
      <c r="D173" s="154" t="s">
        <v>36</v>
      </c>
      <c r="E173" s="154"/>
      <c r="F173" s="154"/>
      <c r="G173" s="154"/>
      <c r="H173" s="155" t="s">
        <v>37</v>
      </c>
      <c r="I173" s="156"/>
      <c r="J173" s="156"/>
      <c r="K173" s="157"/>
      <c r="L173" s="155" t="s">
        <v>38</v>
      </c>
      <c r="M173" s="156"/>
      <c r="N173" s="156"/>
      <c r="O173" s="157"/>
      <c r="R173" s="61"/>
      <c r="S173" s="61"/>
      <c r="V173" s="61"/>
      <c r="W173" s="61"/>
      <c r="X173" s="61"/>
      <c r="Y173" s="61"/>
      <c r="Z173" s="61"/>
      <c r="AC173" s="95"/>
      <c r="AD173" s="95"/>
      <c r="AE173" s="95"/>
      <c r="AF173" s="95"/>
      <c r="AG173" s="93"/>
      <c r="AH173" s="95"/>
    </row>
    <row r="174" spans="1:34" s="4" customFormat="1" ht="59.25" hidden="1" customHeight="1" x14ac:dyDescent="0.25">
      <c r="A174" s="152"/>
      <c r="B174" s="152"/>
      <c r="C174" s="159"/>
      <c r="D174" s="109" t="s">
        <v>66</v>
      </c>
      <c r="E174" s="109" t="s">
        <v>67</v>
      </c>
      <c r="F174" s="109" t="s">
        <v>68</v>
      </c>
      <c r="G174" s="109" t="s">
        <v>70</v>
      </c>
      <c r="H174" s="65" t="s">
        <v>66</v>
      </c>
      <c r="I174" s="65" t="s">
        <v>67</v>
      </c>
      <c r="J174" s="65" t="s">
        <v>68</v>
      </c>
      <c r="K174" s="65" t="s">
        <v>71</v>
      </c>
      <c r="L174" s="65" t="s">
        <v>66</v>
      </c>
      <c r="M174" s="65" t="s">
        <v>67</v>
      </c>
      <c r="N174" s="65" t="s">
        <v>68</v>
      </c>
      <c r="O174" s="65" t="s">
        <v>72</v>
      </c>
      <c r="R174" s="61"/>
      <c r="S174" s="61"/>
      <c r="V174" s="61"/>
      <c r="W174" s="61"/>
      <c r="X174" s="61"/>
      <c r="Y174" s="61"/>
      <c r="Z174" s="61"/>
      <c r="AC174" s="95"/>
      <c r="AD174" s="95"/>
      <c r="AE174" s="95"/>
      <c r="AF174" s="95"/>
      <c r="AG174" s="93"/>
      <c r="AH174" s="95"/>
    </row>
    <row r="175" spans="1:34" s="3" customFormat="1" ht="14.25" hidden="1" customHeight="1" x14ac:dyDescent="0.25">
      <c r="A175" s="53">
        <v>1</v>
      </c>
      <c r="B175" s="53">
        <v>2</v>
      </c>
      <c r="C175" s="53">
        <v>3</v>
      </c>
      <c r="D175" s="53">
        <v>4</v>
      </c>
      <c r="E175" s="53">
        <v>5</v>
      </c>
      <c r="F175" s="53">
        <v>6</v>
      </c>
      <c r="G175" s="53">
        <v>7</v>
      </c>
      <c r="H175" s="66">
        <v>8</v>
      </c>
      <c r="I175" s="66">
        <v>9</v>
      </c>
      <c r="J175" s="66">
        <v>10</v>
      </c>
      <c r="K175" s="66">
        <v>11</v>
      </c>
      <c r="L175" s="66">
        <v>12</v>
      </c>
      <c r="M175" s="66">
        <v>13</v>
      </c>
      <c r="N175" s="66">
        <v>14</v>
      </c>
      <c r="O175" s="66">
        <v>15</v>
      </c>
      <c r="R175" s="61"/>
      <c r="S175" s="61"/>
      <c r="V175" s="61"/>
      <c r="W175" s="61"/>
      <c r="X175" s="61"/>
      <c r="Y175" s="61"/>
      <c r="Z175" s="61"/>
      <c r="AC175" s="95"/>
      <c r="AD175" s="95"/>
      <c r="AE175" s="95"/>
      <c r="AF175" s="95"/>
      <c r="AG175" s="94"/>
      <c r="AH175" s="95"/>
    </row>
    <row r="176" spans="1:34" s="3" customFormat="1" ht="25.5" hidden="1" customHeight="1" x14ac:dyDescent="0.25">
      <c r="A176" s="53" t="s">
        <v>16</v>
      </c>
      <c r="B176" s="54" t="s">
        <v>15</v>
      </c>
      <c r="C176" s="55">
        <f t="shared" ref="C176:N191" si="39">C104+C128+C152</f>
        <v>10045844</v>
      </c>
      <c r="D176" s="55">
        <f t="shared" si="39"/>
        <v>240955</v>
      </c>
      <c r="E176" s="55">
        <f t="shared" si="39"/>
        <v>1326498</v>
      </c>
      <c r="F176" s="55">
        <f t="shared" si="39"/>
        <v>0</v>
      </c>
      <c r="G176" s="55">
        <f>D176+E176+F176</f>
        <v>1567453</v>
      </c>
      <c r="H176" s="63">
        <f t="shared" si="39"/>
        <v>1016019</v>
      </c>
      <c r="I176" s="63">
        <f t="shared" si="39"/>
        <v>5593342</v>
      </c>
      <c r="J176" s="63">
        <f t="shared" si="39"/>
        <v>0</v>
      </c>
      <c r="K176" s="63">
        <f>H176+I176+J176</f>
        <v>6609361</v>
      </c>
      <c r="L176" s="63">
        <f t="shared" si="39"/>
        <v>287315</v>
      </c>
      <c r="M176" s="63">
        <f t="shared" si="39"/>
        <v>1581715</v>
      </c>
      <c r="N176" s="63">
        <f t="shared" si="39"/>
        <v>0</v>
      </c>
      <c r="O176" s="63">
        <f>L176+M176+N176</f>
        <v>1869030</v>
      </c>
      <c r="R176" s="62">
        <f>G176+K176+O176</f>
        <v>10045844</v>
      </c>
      <c r="S176" s="62"/>
      <c r="V176" s="61"/>
      <c r="W176" s="61"/>
      <c r="X176" s="61"/>
      <c r="Y176" s="61"/>
      <c r="Z176" s="61"/>
      <c r="AC176" s="95"/>
      <c r="AD176" s="95"/>
      <c r="AE176" s="95"/>
      <c r="AF176" s="95"/>
      <c r="AG176" s="94"/>
      <c r="AH176" s="95"/>
    </row>
    <row r="177" spans="1:19" customFormat="1" ht="30" hidden="1" x14ac:dyDescent="0.25">
      <c r="A177" s="56" t="s">
        <v>24</v>
      </c>
      <c r="B177" s="54" t="s">
        <v>14</v>
      </c>
      <c r="C177" s="55">
        <f t="shared" si="39"/>
        <v>833478</v>
      </c>
      <c r="D177" s="55">
        <f t="shared" si="39"/>
        <v>89603</v>
      </c>
      <c r="E177" s="55">
        <f t="shared" si="39"/>
        <v>80544</v>
      </c>
      <c r="F177" s="55">
        <f t="shared" si="39"/>
        <v>2565</v>
      </c>
      <c r="G177" s="55">
        <f t="shared" ref="G177:G193" si="40">D177+E177+F177</f>
        <v>172712</v>
      </c>
      <c r="H177" s="63">
        <f t="shared" si="39"/>
        <v>263325</v>
      </c>
      <c r="I177" s="63">
        <f t="shared" si="39"/>
        <v>236706</v>
      </c>
      <c r="J177" s="63">
        <f t="shared" si="39"/>
        <v>7541</v>
      </c>
      <c r="K177" s="63">
        <f t="shared" ref="K177:K193" si="41">H177+I177+J177</f>
        <v>507572</v>
      </c>
      <c r="L177" s="63">
        <f t="shared" si="39"/>
        <v>79476</v>
      </c>
      <c r="M177" s="63">
        <f t="shared" si="39"/>
        <v>71442</v>
      </c>
      <c r="N177" s="63">
        <f t="shared" si="39"/>
        <v>2276</v>
      </c>
      <c r="O177" s="63">
        <f t="shared" ref="O177:O193" si="42">L177+M177+N177</f>
        <v>153194</v>
      </c>
      <c r="R177" s="62">
        <f t="shared" ref="R177:R194" si="43">G177+K177+O177</f>
        <v>833478</v>
      </c>
      <c r="S177" s="62"/>
    </row>
    <row r="178" spans="1:19" customFormat="1" ht="30" hidden="1" x14ac:dyDescent="0.25">
      <c r="A178" s="56" t="s">
        <v>23</v>
      </c>
      <c r="B178" s="54" t="s">
        <v>13</v>
      </c>
      <c r="C178" s="55">
        <f t="shared" si="39"/>
        <v>2508894</v>
      </c>
      <c r="D178" s="55">
        <f t="shared" si="39"/>
        <v>0</v>
      </c>
      <c r="E178" s="55">
        <f t="shared" si="39"/>
        <v>142204</v>
      </c>
      <c r="F178" s="55">
        <f t="shared" si="39"/>
        <v>0</v>
      </c>
      <c r="G178" s="55">
        <f t="shared" si="40"/>
        <v>142204</v>
      </c>
      <c r="H178" s="63">
        <f t="shared" si="39"/>
        <v>0</v>
      </c>
      <c r="I178" s="63">
        <f t="shared" si="39"/>
        <v>2107848</v>
      </c>
      <c r="J178" s="63">
        <f t="shared" si="39"/>
        <v>0</v>
      </c>
      <c r="K178" s="63">
        <f t="shared" si="41"/>
        <v>2107848</v>
      </c>
      <c r="L178" s="63">
        <f t="shared" si="39"/>
        <v>0</v>
      </c>
      <c r="M178" s="63">
        <f t="shared" si="39"/>
        <v>258842</v>
      </c>
      <c r="N178" s="63">
        <f t="shared" si="39"/>
        <v>0</v>
      </c>
      <c r="O178" s="63">
        <f t="shared" si="42"/>
        <v>258842</v>
      </c>
      <c r="R178" s="62">
        <f t="shared" si="43"/>
        <v>2508894</v>
      </c>
      <c r="S178" s="62"/>
    </row>
    <row r="179" spans="1:19" customFormat="1" ht="30" hidden="1" x14ac:dyDescent="0.25">
      <c r="A179" s="56" t="s">
        <v>22</v>
      </c>
      <c r="B179" s="54" t="s">
        <v>12</v>
      </c>
      <c r="C179" s="55">
        <f t="shared" si="39"/>
        <v>558426</v>
      </c>
      <c r="D179" s="55">
        <f t="shared" si="39"/>
        <v>64235</v>
      </c>
      <c r="E179" s="55">
        <f t="shared" si="39"/>
        <v>0</v>
      </c>
      <c r="F179" s="55">
        <f t="shared" si="39"/>
        <v>0</v>
      </c>
      <c r="G179" s="55">
        <f t="shared" si="40"/>
        <v>64235</v>
      </c>
      <c r="H179" s="63">
        <f t="shared" si="39"/>
        <v>417771</v>
      </c>
      <c r="I179" s="63">
        <f t="shared" si="39"/>
        <v>0</v>
      </c>
      <c r="J179" s="63">
        <f t="shared" si="39"/>
        <v>0</v>
      </c>
      <c r="K179" s="63">
        <f t="shared" si="41"/>
        <v>417771</v>
      </c>
      <c r="L179" s="63">
        <f t="shared" si="39"/>
        <v>76420</v>
      </c>
      <c r="M179" s="63">
        <f t="shared" si="39"/>
        <v>0</v>
      </c>
      <c r="N179" s="63">
        <f t="shared" si="39"/>
        <v>0</v>
      </c>
      <c r="O179" s="63">
        <f t="shared" si="42"/>
        <v>76420</v>
      </c>
      <c r="R179" s="62">
        <f t="shared" si="43"/>
        <v>558426</v>
      </c>
      <c r="S179" s="62"/>
    </row>
    <row r="180" spans="1:19" customFormat="1" ht="30" hidden="1" x14ac:dyDescent="0.25">
      <c r="A180" s="56" t="s">
        <v>21</v>
      </c>
      <c r="B180" s="54" t="s">
        <v>11</v>
      </c>
      <c r="C180" s="55">
        <f t="shared" si="39"/>
        <v>371832</v>
      </c>
      <c r="D180" s="55">
        <f t="shared" si="39"/>
        <v>14605</v>
      </c>
      <c r="E180" s="55">
        <f t="shared" si="39"/>
        <v>22987</v>
      </c>
      <c r="F180" s="55">
        <f t="shared" si="39"/>
        <v>9947</v>
      </c>
      <c r="G180" s="55">
        <f t="shared" si="40"/>
        <v>47539</v>
      </c>
      <c r="H180" s="63">
        <f t="shared" si="39"/>
        <v>77478</v>
      </c>
      <c r="I180" s="63">
        <f t="shared" si="39"/>
        <v>121936</v>
      </c>
      <c r="J180" s="63">
        <f t="shared" si="39"/>
        <v>52767</v>
      </c>
      <c r="K180" s="63">
        <f t="shared" si="41"/>
        <v>252181</v>
      </c>
      <c r="L180" s="63">
        <f t="shared" si="39"/>
        <v>22155</v>
      </c>
      <c r="M180" s="63">
        <f t="shared" si="39"/>
        <v>34869</v>
      </c>
      <c r="N180" s="63">
        <f t="shared" si="39"/>
        <v>15088</v>
      </c>
      <c r="O180" s="63">
        <f t="shared" si="42"/>
        <v>72112</v>
      </c>
      <c r="R180" s="62">
        <f t="shared" si="43"/>
        <v>371832</v>
      </c>
      <c r="S180" s="62"/>
    </row>
    <row r="181" spans="1:19" customFormat="1" hidden="1" x14ac:dyDescent="0.25">
      <c r="A181" s="56" t="s">
        <v>20</v>
      </c>
      <c r="B181" s="54" t="s">
        <v>34</v>
      </c>
      <c r="C181" s="55">
        <f t="shared" si="39"/>
        <v>673341</v>
      </c>
      <c r="D181" s="55">
        <f t="shared" si="39"/>
        <v>126036</v>
      </c>
      <c r="E181" s="55">
        <f t="shared" si="39"/>
        <v>0</v>
      </c>
      <c r="F181" s="55">
        <f t="shared" si="39"/>
        <v>0</v>
      </c>
      <c r="G181" s="55">
        <f t="shared" si="40"/>
        <v>126036</v>
      </c>
      <c r="H181" s="63">
        <f t="shared" si="39"/>
        <v>411391</v>
      </c>
      <c r="I181" s="63">
        <f t="shared" si="39"/>
        <v>0</v>
      </c>
      <c r="J181" s="63">
        <f t="shared" si="39"/>
        <v>0</v>
      </c>
      <c r="K181" s="63">
        <f t="shared" si="41"/>
        <v>411391</v>
      </c>
      <c r="L181" s="63">
        <f t="shared" si="39"/>
        <v>135914</v>
      </c>
      <c r="M181" s="63">
        <f t="shared" si="39"/>
        <v>0</v>
      </c>
      <c r="N181" s="63">
        <f t="shared" si="39"/>
        <v>0</v>
      </c>
      <c r="O181" s="63">
        <f t="shared" si="42"/>
        <v>135914</v>
      </c>
      <c r="R181" s="62">
        <f t="shared" si="43"/>
        <v>673341</v>
      </c>
      <c r="S181" s="62"/>
    </row>
    <row r="182" spans="1:19" customFormat="1" ht="30" hidden="1" x14ac:dyDescent="0.25">
      <c r="A182" s="56" t="s">
        <v>19</v>
      </c>
      <c r="B182" s="54" t="s">
        <v>10</v>
      </c>
      <c r="C182" s="55">
        <f t="shared" si="39"/>
        <v>2703049</v>
      </c>
      <c r="D182" s="55">
        <f t="shared" si="39"/>
        <v>58712</v>
      </c>
      <c r="E182" s="55">
        <f t="shared" si="39"/>
        <v>76793</v>
      </c>
      <c r="F182" s="55">
        <f t="shared" si="39"/>
        <v>3620</v>
      </c>
      <c r="G182" s="55">
        <f t="shared" si="40"/>
        <v>139125</v>
      </c>
      <c r="H182" s="63">
        <f t="shared" si="39"/>
        <v>913168</v>
      </c>
      <c r="I182" s="63">
        <f t="shared" si="39"/>
        <v>1194378</v>
      </c>
      <c r="J182" s="63">
        <f t="shared" si="39"/>
        <v>56300</v>
      </c>
      <c r="K182" s="63">
        <f t="shared" si="41"/>
        <v>2163846</v>
      </c>
      <c r="L182" s="63">
        <f t="shared" si="39"/>
        <v>168838</v>
      </c>
      <c r="M182" s="63">
        <f t="shared" si="39"/>
        <v>220831</v>
      </c>
      <c r="N182" s="63">
        <f t="shared" si="39"/>
        <v>10409</v>
      </c>
      <c r="O182" s="63">
        <f t="shared" si="42"/>
        <v>400078</v>
      </c>
      <c r="R182" s="62">
        <f t="shared" si="43"/>
        <v>2703049</v>
      </c>
      <c r="S182" s="62"/>
    </row>
    <row r="183" spans="1:19" customFormat="1" hidden="1" x14ac:dyDescent="0.25">
      <c r="A183" s="56" t="s">
        <v>18</v>
      </c>
      <c r="B183" s="54" t="s">
        <v>9</v>
      </c>
      <c r="C183" s="55">
        <f t="shared" si="39"/>
        <v>1731644</v>
      </c>
      <c r="D183" s="55">
        <f t="shared" si="39"/>
        <v>135470</v>
      </c>
      <c r="E183" s="55">
        <f t="shared" si="39"/>
        <v>279183</v>
      </c>
      <c r="F183" s="55">
        <f t="shared" si="39"/>
        <v>2431</v>
      </c>
      <c r="G183" s="55">
        <f t="shared" si="40"/>
        <v>417084</v>
      </c>
      <c r="H183" s="63">
        <f t="shared" si="39"/>
        <v>423292</v>
      </c>
      <c r="I183" s="63">
        <f t="shared" si="39"/>
        <v>872346</v>
      </c>
      <c r="J183" s="63">
        <f t="shared" si="39"/>
        <v>7596</v>
      </c>
      <c r="K183" s="63">
        <f t="shared" si="41"/>
        <v>1303234</v>
      </c>
      <c r="L183" s="63">
        <f t="shared" si="39"/>
        <v>3679</v>
      </c>
      <c r="M183" s="63">
        <f t="shared" si="39"/>
        <v>7581</v>
      </c>
      <c r="N183" s="63">
        <f t="shared" si="39"/>
        <v>66</v>
      </c>
      <c r="O183" s="63">
        <f t="shared" si="42"/>
        <v>11326</v>
      </c>
      <c r="R183" s="62">
        <f t="shared" si="43"/>
        <v>1731644</v>
      </c>
      <c r="S183" s="62"/>
    </row>
    <row r="184" spans="1:19" customFormat="1" hidden="1" x14ac:dyDescent="0.25">
      <c r="A184" s="56" t="s">
        <v>25</v>
      </c>
      <c r="B184" s="54" t="s">
        <v>8</v>
      </c>
      <c r="C184" s="55">
        <f t="shared" si="39"/>
        <v>3308456</v>
      </c>
      <c r="D184" s="55">
        <f t="shared" si="39"/>
        <v>21795</v>
      </c>
      <c r="E184" s="55">
        <f t="shared" si="39"/>
        <v>108890</v>
      </c>
      <c r="F184" s="55">
        <f t="shared" si="39"/>
        <v>0</v>
      </c>
      <c r="G184" s="55">
        <f t="shared" si="40"/>
        <v>130685</v>
      </c>
      <c r="H184" s="63">
        <f t="shared" si="39"/>
        <v>353712</v>
      </c>
      <c r="I184" s="63">
        <f t="shared" si="39"/>
        <v>1767272</v>
      </c>
      <c r="J184" s="63">
        <f t="shared" si="39"/>
        <v>0</v>
      </c>
      <c r="K184" s="63">
        <f t="shared" si="41"/>
        <v>2120984</v>
      </c>
      <c r="L184" s="63">
        <f t="shared" si="39"/>
        <v>176238</v>
      </c>
      <c r="M184" s="63">
        <f t="shared" si="39"/>
        <v>880549</v>
      </c>
      <c r="N184" s="63">
        <f t="shared" si="39"/>
        <v>0</v>
      </c>
      <c r="O184" s="63">
        <f t="shared" si="42"/>
        <v>1056787</v>
      </c>
      <c r="R184" s="62">
        <f t="shared" si="43"/>
        <v>3308456</v>
      </c>
      <c r="S184" s="62"/>
    </row>
    <row r="185" spans="1:19" customFormat="1" hidden="1" x14ac:dyDescent="0.25">
      <c r="A185" s="56" t="s">
        <v>26</v>
      </c>
      <c r="B185" s="54" t="s">
        <v>7</v>
      </c>
      <c r="C185" s="55">
        <f t="shared" si="39"/>
        <v>1719656</v>
      </c>
      <c r="D185" s="55">
        <f t="shared" si="39"/>
        <v>4022</v>
      </c>
      <c r="E185" s="55">
        <f t="shared" si="39"/>
        <v>27396</v>
      </c>
      <c r="F185" s="55">
        <f t="shared" si="39"/>
        <v>0</v>
      </c>
      <c r="G185" s="55">
        <f t="shared" si="40"/>
        <v>31418</v>
      </c>
      <c r="H185" s="63">
        <f t="shared" si="39"/>
        <v>196518</v>
      </c>
      <c r="I185" s="63">
        <f t="shared" si="39"/>
        <v>1338413</v>
      </c>
      <c r="J185" s="63">
        <f t="shared" si="39"/>
        <v>0</v>
      </c>
      <c r="K185" s="63">
        <f t="shared" si="41"/>
        <v>1534931</v>
      </c>
      <c r="L185" s="63">
        <f t="shared" si="39"/>
        <v>19628</v>
      </c>
      <c r="M185" s="63">
        <f t="shared" si="39"/>
        <v>133679</v>
      </c>
      <c r="N185" s="63">
        <f t="shared" si="39"/>
        <v>0</v>
      </c>
      <c r="O185" s="63">
        <f t="shared" si="42"/>
        <v>153307</v>
      </c>
      <c r="R185" s="62">
        <f t="shared" si="43"/>
        <v>1719656</v>
      </c>
      <c r="S185" s="62"/>
    </row>
    <row r="186" spans="1:19" customFormat="1" hidden="1" x14ac:dyDescent="0.25">
      <c r="A186" s="56" t="s">
        <v>27</v>
      </c>
      <c r="B186" s="54" t="s">
        <v>6</v>
      </c>
      <c r="C186" s="55">
        <f t="shared" si="39"/>
        <v>1196645</v>
      </c>
      <c r="D186" s="55">
        <f t="shared" si="39"/>
        <v>3898</v>
      </c>
      <c r="E186" s="55">
        <f t="shared" si="39"/>
        <v>4358</v>
      </c>
      <c r="F186" s="55">
        <f t="shared" si="39"/>
        <v>84</v>
      </c>
      <c r="G186" s="55">
        <f t="shared" si="40"/>
        <v>8340</v>
      </c>
      <c r="H186" s="63">
        <f t="shared" si="39"/>
        <v>554623</v>
      </c>
      <c r="I186" s="63">
        <f t="shared" si="39"/>
        <v>619984</v>
      </c>
      <c r="J186" s="63">
        <f t="shared" si="39"/>
        <v>11903</v>
      </c>
      <c r="K186" s="63">
        <f t="shared" si="41"/>
        <v>1186510</v>
      </c>
      <c r="L186" s="63">
        <f t="shared" si="39"/>
        <v>839</v>
      </c>
      <c r="M186" s="63">
        <f t="shared" si="39"/>
        <v>938</v>
      </c>
      <c r="N186" s="63">
        <f t="shared" si="39"/>
        <v>18</v>
      </c>
      <c r="O186" s="63">
        <f t="shared" si="42"/>
        <v>1795</v>
      </c>
      <c r="R186" s="62">
        <f t="shared" si="43"/>
        <v>1196645</v>
      </c>
      <c r="S186" s="62"/>
    </row>
    <row r="187" spans="1:19" customFormat="1" hidden="1" x14ac:dyDescent="0.25">
      <c r="A187" s="56" t="s">
        <v>28</v>
      </c>
      <c r="B187" s="54" t="s">
        <v>5</v>
      </c>
      <c r="C187" s="55">
        <f t="shared" si="39"/>
        <v>2086373</v>
      </c>
      <c r="D187" s="55">
        <f t="shared" si="39"/>
        <v>111802</v>
      </c>
      <c r="E187" s="55">
        <f t="shared" si="39"/>
        <v>167085</v>
      </c>
      <c r="F187" s="55">
        <f t="shared" si="39"/>
        <v>9764</v>
      </c>
      <c r="G187" s="55">
        <f t="shared" si="40"/>
        <v>288651</v>
      </c>
      <c r="H187" s="63">
        <f t="shared" si="39"/>
        <v>689530</v>
      </c>
      <c r="I187" s="63">
        <f t="shared" si="39"/>
        <v>1030473</v>
      </c>
      <c r="J187" s="63">
        <f t="shared" si="39"/>
        <v>60215</v>
      </c>
      <c r="K187" s="63">
        <f t="shared" si="41"/>
        <v>1780218</v>
      </c>
      <c r="L187" s="63">
        <f t="shared" si="39"/>
        <v>6780</v>
      </c>
      <c r="M187" s="63">
        <f t="shared" si="39"/>
        <v>10132</v>
      </c>
      <c r="N187" s="63">
        <f t="shared" si="39"/>
        <v>592</v>
      </c>
      <c r="O187" s="63">
        <f t="shared" si="42"/>
        <v>17504</v>
      </c>
      <c r="R187" s="62">
        <f t="shared" si="43"/>
        <v>2086373</v>
      </c>
      <c r="S187" s="62"/>
    </row>
    <row r="188" spans="1:19" customFormat="1" hidden="1" x14ac:dyDescent="0.25">
      <c r="A188" s="56" t="s">
        <v>29</v>
      </c>
      <c r="B188" s="54" t="s">
        <v>4</v>
      </c>
      <c r="C188" s="55">
        <f t="shared" si="39"/>
        <v>1136074</v>
      </c>
      <c r="D188" s="55">
        <f t="shared" si="39"/>
        <v>22031</v>
      </c>
      <c r="E188" s="55">
        <f t="shared" si="39"/>
        <v>37121</v>
      </c>
      <c r="F188" s="55">
        <f t="shared" si="39"/>
        <v>1537</v>
      </c>
      <c r="G188" s="55">
        <f t="shared" si="40"/>
        <v>60689</v>
      </c>
      <c r="H188" s="63">
        <f t="shared" si="39"/>
        <v>377469</v>
      </c>
      <c r="I188" s="63">
        <f t="shared" si="39"/>
        <v>636034</v>
      </c>
      <c r="J188" s="63">
        <f t="shared" si="39"/>
        <v>26356</v>
      </c>
      <c r="K188" s="63">
        <f t="shared" si="41"/>
        <v>1039859</v>
      </c>
      <c r="L188" s="63">
        <f t="shared" si="39"/>
        <v>12896</v>
      </c>
      <c r="M188" s="63">
        <f t="shared" si="39"/>
        <v>21729</v>
      </c>
      <c r="N188" s="63">
        <f t="shared" si="39"/>
        <v>901</v>
      </c>
      <c r="O188" s="63">
        <f t="shared" si="42"/>
        <v>35526</v>
      </c>
      <c r="R188" s="62">
        <f t="shared" si="43"/>
        <v>1136074</v>
      </c>
      <c r="S188" s="62"/>
    </row>
    <row r="189" spans="1:19" customFormat="1" hidden="1" x14ac:dyDescent="0.25">
      <c r="A189" s="56">
        <v>14</v>
      </c>
      <c r="B189" s="54" t="s">
        <v>3</v>
      </c>
      <c r="C189" s="55">
        <f t="shared" si="39"/>
        <v>2269652</v>
      </c>
      <c r="D189" s="55">
        <f t="shared" si="39"/>
        <v>108786</v>
      </c>
      <c r="E189" s="55">
        <f t="shared" si="39"/>
        <v>53556</v>
      </c>
      <c r="F189" s="55">
        <f t="shared" si="39"/>
        <v>5022</v>
      </c>
      <c r="G189" s="55">
        <f t="shared" si="40"/>
        <v>167364</v>
      </c>
      <c r="H189" s="63">
        <f t="shared" si="39"/>
        <v>1215479</v>
      </c>
      <c r="I189" s="63">
        <f t="shared" si="39"/>
        <v>598389</v>
      </c>
      <c r="J189" s="63">
        <f t="shared" si="39"/>
        <v>56099</v>
      </c>
      <c r="K189" s="63">
        <f t="shared" si="41"/>
        <v>1869967</v>
      </c>
      <c r="L189" s="63">
        <f t="shared" si="39"/>
        <v>151008</v>
      </c>
      <c r="M189" s="63">
        <f t="shared" si="39"/>
        <v>74343</v>
      </c>
      <c r="N189" s="63">
        <f t="shared" si="39"/>
        <v>6970</v>
      </c>
      <c r="O189" s="63">
        <f t="shared" si="42"/>
        <v>232321</v>
      </c>
      <c r="R189" s="62">
        <f t="shared" si="43"/>
        <v>2269652</v>
      </c>
      <c r="S189" s="62"/>
    </row>
    <row r="190" spans="1:19" customFormat="1" ht="45" hidden="1" x14ac:dyDescent="0.25">
      <c r="A190" s="56" t="s">
        <v>30</v>
      </c>
      <c r="B190" s="54" t="s">
        <v>2</v>
      </c>
      <c r="C190" s="55">
        <f t="shared" si="39"/>
        <v>184341</v>
      </c>
      <c r="D190" s="55">
        <f t="shared" si="39"/>
        <v>5221</v>
      </c>
      <c r="E190" s="55">
        <f t="shared" si="39"/>
        <v>0</v>
      </c>
      <c r="F190" s="55">
        <f t="shared" si="39"/>
        <v>0</v>
      </c>
      <c r="G190" s="55">
        <f t="shared" si="40"/>
        <v>5221</v>
      </c>
      <c r="H190" s="63">
        <f t="shared" si="39"/>
        <v>154324</v>
      </c>
      <c r="I190" s="63">
        <f t="shared" si="39"/>
        <v>0</v>
      </c>
      <c r="J190" s="63">
        <f t="shared" si="39"/>
        <v>0</v>
      </c>
      <c r="K190" s="63">
        <f t="shared" si="41"/>
        <v>154324</v>
      </c>
      <c r="L190" s="63">
        <f t="shared" si="39"/>
        <v>24796</v>
      </c>
      <c r="M190" s="63">
        <f t="shared" si="39"/>
        <v>0</v>
      </c>
      <c r="N190" s="63">
        <f t="shared" si="39"/>
        <v>0</v>
      </c>
      <c r="O190" s="63">
        <f t="shared" si="42"/>
        <v>24796</v>
      </c>
      <c r="R190" s="62">
        <f t="shared" si="43"/>
        <v>184341</v>
      </c>
      <c r="S190" s="62"/>
    </row>
    <row r="191" spans="1:19" customFormat="1" ht="30" hidden="1" x14ac:dyDescent="0.25">
      <c r="A191" s="56" t="s">
        <v>31</v>
      </c>
      <c r="B191" s="54" t="s">
        <v>1</v>
      </c>
      <c r="C191" s="55">
        <f t="shared" si="39"/>
        <v>118028</v>
      </c>
      <c r="D191" s="55">
        <f t="shared" si="39"/>
        <v>8779</v>
      </c>
      <c r="E191" s="55">
        <f t="shared" si="39"/>
        <v>0</v>
      </c>
      <c r="F191" s="55">
        <f t="shared" si="39"/>
        <v>0</v>
      </c>
      <c r="G191" s="55">
        <f t="shared" si="40"/>
        <v>8779</v>
      </c>
      <c r="H191" s="63">
        <f t="shared" si="39"/>
        <v>104488</v>
      </c>
      <c r="I191" s="63">
        <f t="shared" si="39"/>
        <v>0</v>
      </c>
      <c r="J191" s="63">
        <f t="shared" si="39"/>
        <v>0</v>
      </c>
      <c r="K191" s="63">
        <f t="shared" si="41"/>
        <v>104488</v>
      </c>
      <c r="L191" s="63">
        <f t="shared" si="39"/>
        <v>4761</v>
      </c>
      <c r="M191" s="63">
        <f t="shared" si="39"/>
        <v>0</v>
      </c>
      <c r="N191" s="63">
        <f t="shared" si="39"/>
        <v>0</v>
      </c>
      <c r="O191" s="63">
        <f t="shared" si="42"/>
        <v>4761</v>
      </c>
      <c r="R191" s="62">
        <f t="shared" si="43"/>
        <v>118028</v>
      </c>
      <c r="S191" s="62"/>
    </row>
    <row r="192" spans="1:19" customFormat="1" hidden="1" x14ac:dyDescent="0.25">
      <c r="A192" s="56" t="s">
        <v>32</v>
      </c>
      <c r="B192" s="54" t="s">
        <v>73</v>
      </c>
      <c r="C192" s="55">
        <f t="shared" ref="C192:F193" si="44">C120+C144+C168</f>
        <v>103738</v>
      </c>
      <c r="D192" s="55">
        <f t="shared" si="44"/>
        <v>20405</v>
      </c>
      <c r="E192" s="55">
        <f t="shared" si="44"/>
        <v>0</v>
      </c>
      <c r="F192" s="55">
        <f t="shared" si="44"/>
        <v>0</v>
      </c>
      <c r="G192" s="55">
        <f t="shared" si="40"/>
        <v>20405</v>
      </c>
      <c r="H192" s="63">
        <f t="shared" ref="H192:J193" si="45">H120+H144+H168</f>
        <v>66792</v>
      </c>
      <c r="I192" s="63">
        <f t="shared" si="45"/>
        <v>0</v>
      </c>
      <c r="J192" s="63">
        <f t="shared" si="45"/>
        <v>0</v>
      </c>
      <c r="K192" s="63">
        <f t="shared" si="41"/>
        <v>66792</v>
      </c>
      <c r="L192" s="63">
        <f t="shared" ref="L192:N193" si="46">L120+L144+L168</f>
        <v>16541</v>
      </c>
      <c r="M192" s="63">
        <f t="shared" si="46"/>
        <v>0</v>
      </c>
      <c r="N192" s="63">
        <f t="shared" si="46"/>
        <v>0</v>
      </c>
      <c r="O192" s="63">
        <f t="shared" si="42"/>
        <v>16541</v>
      </c>
      <c r="R192" s="62">
        <f t="shared" si="43"/>
        <v>103738</v>
      </c>
      <c r="S192" s="62"/>
    </row>
    <row r="193" spans="1:34" ht="33" hidden="1" customHeight="1" x14ac:dyDescent="0.25">
      <c r="A193" s="56" t="s">
        <v>90</v>
      </c>
      <c r="B193" s="70" t="s">
        <v>91</v>
      </c>
      <c r="C193" s="55">
        <f t="shared" si="44"/>
        <v>184986</v>
      </c>
      <c r="D193" s="55">
        <f t="shared" si="44"/>
        <v>0</v>
      </c>
      <c r="E193" s="55">
        <f t="shared" si="44"/>
        <v>31308</v>
      </c>
      <c r="F193" s="55">
        <f t="shared" si="44"/>
        <v>0</v>
      </c>
      <c r="G193" s="55">
        <f t="shared" si="40"/>
        <v>31308</v>
      </c>
      <c r="H193" s="63">
        <f t="shared" si="45"/>
        <v>0</v>
      </c>
      <c r="I193" s="63">
        <f t="shared" si="45"/>
        <v>102918</v>
      </c>
      <c r="J193" s="63">
        <f t="shared" si="45"/>
        <v>0</v>
      </c>
      <c r="K193" s="63">
        <f t="shared" si="41"/>
        <v>102918</v>
      </c>
      <c r="L193" s="63">
        <f t="shared" si="46"/>
        <v>0</v>
      </c>
      <c r="M193" s="63">
        <f t="shared" si="46"/>
        <v>50760</v>
      </c>
      <c r="N193" s="63">
        <f t="shared" si="46"/>
        <v>0</v>
      </c>
      <c r="O193" s="63">
        <f t="shared" si="42"/>
        <v>50760</v>
      </c>
      <c r="R193" s="62">
        <f t="shared" si="43"/>
        <v>184986</v>
      </c>
      <c r="S193" s="62"/>
    </row>
    <row r="194" spans="1:34" ht="25.5" hidden="1" customHeight="1" x14ac:dyDescent="0.25">
      <c r="A194" s="57"/>
      <c r="B194" s="57" t="s">
        <v>0</v>
      </c>
      <c r="C194" s="58">
        <f>SUM(C176:C193)</f>
        <v>31734457</v>
      </c>
      <c r="D194" s="58">
        <f t="shared" ref="D194:O194" si="47">SUM(D176:D193)</f>
        <v>1036355</v>
      </c>
      <c r="E194" s="58">
        <f t="shared" si="47"/>
        <v>2357923</v>
      </c>
      <c r="F194" s="58">
        <f t="shared" si="47"/>
        <v>34970</v>
      </c>
      <c r="G194" s="58">
        <f t="shared" si="47"/>
        <v>3429248</v>
      </c>
      <c r="H194" s="58">
        <f t="shared" si="47"/>
        <v>7235379</v>
      </c>
      <c r="I194" s="58">
        <f t="shared" si="47"/>
        <v>16220039</v>
      </c>
      <c r="J194" s="58">
        <f t="shared" si="47"/>
        <v>278777</v>
      </c>
      <c r="K194" s="58">
        <f t="shared" si="47"/>
        <v>23734195</v>
      </c>
      <c r="L194" s="58">
        <f t="shared" si="47"/>
        <v>1187284</v>
      </c>
      <c r="M194" s="58">
        <f t="shared" si="47"/>
        <v>3347410</v>
      </c>
      <c r="N194" s="58">
        <f t="shared" si="47"/>
        <v>36320</v>
      </c>
      <c r="O194" s="58">
        <f t="shared" si="47"/>
        <v>4571014</v>
      </c>
      <c r="R194" s="62">
        <f t="shared" si="43"/>
        <v>31734457</v>
      </c>
      <c r="S194" s="62"/>
    </row>
    <row r="196" spans="1:34" s="4" customFormat="1" ht="28.5" customHeight="1" x14ac:dyDescent="0.25">
      <c r="A196" s="152" t="s">
        <v>17</v>
      </c>
      <c r="B196" s="152" t="s">
        <v>33</v>
      </c>
      <c r="C196" s="152" t="s">
        <v>81</v>
      </c>
      <c r="D196" s="152" t="s">
        <v>69</v>
      </c>
      <c r="E196" s="152"/>
      <c r="F196" s="152"/>
      <c r="G196" s="152"/>
      <c r="H196" s="152"/>
      <c r="I196" s="152"/>
      <c r="J196" s="152"/>
      <c r="K196" s="152"/>
      <c r="L196" s="152"/>
      <c r="M196" s="152"/>
      <c r="N196" s="152"/>
      <c r="O196" s="152"/>
      <c r="R196" s="61"/>
      <c r="S196" s="61"/>
      <c r="V196" s="61"/>
      <c r="W196" s="61"/>
      <c r="X196" s="61"/>
      <c r="Y196" s="61"/>
      <c r="Z196" s="61"/>
      <c r="AC196" s="95"/>
      <c r="AD196" s="95"/>
      <c r="AE196" s="95"/>
      <c r="AF196" s="95"/>
      <c r="AG196" s="93"/>
      <c r="AH196" s="95"/>
    </row>
    <row r="197" spans="1:34" s="4" customFormat="1" ht="41.25" customHeight="1" x14ac:dyDescent="0.25">
      <c r="A197" s="152"/>
      <c r="B197" s="152"/>
      <c r="C197" s="152"/>
      <c r="D197" s="154" t="s">
        <v>36</v>
      </c>
      <c r="E197" s="154"/>
      <c r="F197" s="154"/>
      <c r="G197" s="154"/>
      <c r="H197" s="155" t="s">
        <v>37</v>
      </c>
      <c r="I197" s="156"/>
      <c r="J197" s="156"/>
      <c r="K197" s="157"/>
      <c r="L197" s="155" t="s">
        <v>38</v>
      </c>
      <c r="M197" s="156"/>
      <c r="N197" s="156"/>
      <c r="O197" s="157"/>
      <c r="R197" s="61"/>
      <c r="S197" s="61"/>
      <c r="V197" s="61"/>
      <c r="W197" s="61"/>
      <c r="X197" s="61"/>
      <c r="Y197" s="61"/>
      <c r="Z197" s="61"/>
      <c r="AC197" s="95"/>
      <c r="AD197" s="95"/>
      <c r="AE197" s="95"/>
      <c r="AF197" s="95"/>
      <c r="AG197" s="93"/>
      <c r="AH197" s="95"/>
    </row>
    <row r="198" spans="1:34" s="4" customFormat="1" ht="59.25" customHeight="1" x14ac:dyDescent="0.25">
      <c r="A198" s="152"/>
      <c r="B198" s="152"/>
      <c r="C198" s="152"/>
      <c r="D198" s="109" t="s">
        <v>66</v>
      </c>
      <c r="E198" s="109" t="s">
        <v>67</v>
      </c>
      <c r="F198" s="109" t="s">
        <v>68</v>
      </c>
      <c r="G198" s="109" t="s">
        <v>70</v>
      </c>
      <c r="H198" s="65" t="s">
        <v>66</v>
      </c>
      <c r="I198" s="65" t="s">
        <v>67</v>
      </c>
      <c r="J198" s="65" t="s">
        <v>68</v>
      </c>
      <c r="K198" s="65" t="s">
        <v>71</v>
      </c>
      <c r="L198" s="65" t="s">
        <v>66</v>
      </c>
      <c r="M198" s="65" t="s">
        <v>67</v>
      </c>
      <c r="N198" s="65" t="s">
        <v>68</v>
      </c>
      <c r="O198" s="65" t="s">
        <v>72</v>
      </c>
      <c r="R198" s="61"/>
      <c r="S198" s="61"/>
      <c r="V198" s="61"/>
      <c r="W198" s="61"/>
      <c r="X198" s="61"/>
      <c r="Y198" s="61"/>
      <c r="Z198" s="61"/>
      <c r="AC198" s="95"/>
      <c r="AD198" s="95"/>
      <c r="AE198" s="95"/>
      <c r="AF198" s="95"/>
      <c r="AG198" s="93"/>
      <c r="AH198" s="95"/>
    </row>
    <row r="199" spans="1:34" s="3" customFormat="1" ht="14.25" customHeight="1" x14ac:dyDescent="0.25">
      <c r="A199" s="53">
        <v>1</v>
      </c>
      <c r="B199" s="53">
        <v>2</v>
      </c>
      <c r="C199" s="53">
        <v>3</v>
      </c>
      <c r="D199" s="53">
        <v>4</v>
      </c>
      <c r="E199" s="53">
        <v>5</v>
      </c>
      <c r="F199" s="53">
        <v>6</v>
      </c>
      <c r="G199" s="53">
        <v>7</v>
      </c>
      <c r="H199" s="66">
        <v>8</v>
      </c>
      <c r="I199" s="66">
        <v>9</v>
      </c>
      <c r="J199" s="66">
        <v>10</v>
      </c>
      <c r="K199" s="66">
        <v>11</v>
      </c>
      <c r="L199" s="66">
        <v>12</v>
      </c>
      <c r="M199" s="66">
        <v>13</v>
      </c>
      <c r="N199" s="66">
        <v>14</v>
      </c>
      <c r="O199" s="66">
        <v>15</v>
      </c>
      <c r="R199" s="61"/>
      <c r="S199" s="61"/>
      <c r="V199" s="61"/>
      <c r="W199" s="61"/>
      <c r="X199" s="61"/>
      <c r="Y199" s="61"/>
      <c r="Z199" s="61"/>
      <c r="AC199" s="95"/>
      <c r="AD199" s="95"/>
      <c r="AE199" s="95"/>
      <c r="AF199" s="95"/>
      <c r="AG199" s="94"/>
      <c r="AH199" s="95"/>
    </row>
    <row r="200" spans="1:34" s="3" customFormat="1" ht="25.5" hidden="1" customHeight="1" x14ac:dyDescent="0.25">
      <c r="A200" s="53" t="s">
        <v>16</v>
      </c>
      <c r="B200" s="54" t="s">
        <v>15</v>
      </c>
      <c r="C200" s="55">
        <f>4478889+600458</f>
        <v>5079347</v>
      </c>
      <c r="D200" s="55">
        <f>70373+9424</f>
        <v>79797</v>
      </c>
      <c r="E200" s="55">
        <f>628468+84265</f>
        <v>712733</v>
      </c>
      <c r="F200" s="55">
        <v>0</v>
      </c>
      <c r="G200" s="55">
        <f>D200+E200+F200</f>
        <v>792530</v>
      </c>
      <c r="H200" s="63">
        <f>296738+39738</f>
        <v>336476</v>
      </c>
      <c r="I200" s="63">
        <f>2650013+355315</f>
        <v>3005328</v>
      </c>
      <c r="J200" s="63">
        <v>0</v>
      </c>
      <c r="K200" s="63">
        <f>H200+I200+J200</f>
        <v>3341804</v>
      </c>
      <c r="L200" s="63">
        <f>83913+11238</f>
        <v>95151</v>
      </c>
      <c r="M200" s="63">
        <f>749384+100478</f>
        <v>849862</v>
      </c>
      <c r="N200" s="63">
        <v>0</v>
      </c>
      <c r="O200" s="63">
        <f>L200+M200+N200</f>
        <v>945013</v>
      </c>
      <c r="R200" s="62">
        <f>G200+K200+O200</f>
        <v>5079347</v>
      </c>
      <c r="S200" s="62"/>
      <c r="V200" s="62"/>
      <c r="W200" s="62"/>
      <c r="X200" s="62"/>
      <c r="Y200" s="62"/>
      <c r="Z200" s="62"/>
      <c r="AC200" s="98"/>
      <c r="AD200" s="98"/>
      <c r="AE200" s="98"/>
      <c r="AF200" s="98"/>
      <c r="AG200" s="94"/>
      <c r="AH200" s="98"/>
    </row>
    <row r="201" spans="1:34" ht="40.5" hidden="1" customHeight="1" x14ac:dyDescent="0.25">
      <c r="A201" s="56" t="s">
        <v>24</v>
      </c>
      <c r="B201" s="54" t="s">
        <v>14</v>
      </c>
      <c r="C201" s="55">
        <v>272064</v>
      </c>
      <c r="D201" s="55">
        <v>28690</v>
      </c>
      <c r="E201" s="55">
        <v>26830</v>
      </c>
      <c r="F201" s="55">
        <v>857</v>
      </c>
      <c r="G201" s="55">
        <f t="shared" ref="G201:G217" si="48">D201+E201+F201</f>
        <v>56377</v>
      </c>
      <c r="H201" s="63">
        <v>84315</v>
      </c>
      <c r="I201" s="63">
        <v>78848</v>
      </c>
      <c r="J201" s="63">
        <v>2518</v>
      </c>
      <c r="K201" s="63">
        <f t="shared" ref="K201:K217" si="49">H201+I201+J201</f>
        <v>165681</v>
      </c>
      <c r="L201" s="63">
        <v>25448</v>
      </c>
      <c r="M201" s="63">
        <v>23798</v>
      </c>
      <c r="N201" s="63">
        <v>760</v>
      </c>
      <c r="O201" s="63">
        <f t="shared" ref="O201:O217" si="50">L201+M201+N201</f>
        <v>50006</v>
      </c>
      <c r="R201" s="62">
        <f t="shared" ref="R201:R217" si="51">G201+K201+O201</f>
        <v>272064</v>
      </c>
      <c r="S201" s="62"/>
      <c r="V201" s="62"/>
      <c r="W201" s="62"/>
      <c r="X201" s="62"/>
      <c r="Y201" s="62"/>
      <c r="Z201" s="62"/>
      <c r="AF201" s="98"/>
      <c r="AH201" s="98"/>
    </row>
    <row r="202" spans="1:34" ht="34.5" hidden="1" customHeight="1" x14ac:dyDescent="0.25">
      <c r="A202" s="56" t="s">
        <v>24</v>
      </c>
      <c r="B202" s="54" t="s">
        <v>13</v>
      </c>
      <c r="C202" s="55">
        <f>852858+29661</f>
        <v>882519</v>
      </c>
      <c r="D202" s="55">
        <v>0</v>
      </c>
      <c r="E202" s="55">
        <f>48340+1681</f>
        <v>50021</v>
      </c>
      <c r="F202" s="55">
        <v>0</v>
      </c>
      <c r="G202" s="55">
        <f t="shared" si="48"/>
        <v>50021</v>
      </c>
      <c r="H202" s="63">
        <v>0</v>
      </c>
      <c r="I202" s="63">
        <f>716529+24920</f>
        <v>741449</v>
      </c>
      <c r="J202" s="63">
        <v>0</v>
      </c>
      <c r="K202" s="63">
        <f t="shared" si="49"/>
        <v>741449</v>
      </c>
      <c r="L202" s="63">
        <v>0</v>
      </c>
      <c r="M202" s="63">
        <f>87989+3060</f>
        <v>91049</v>
      </c>
      <c r="N202" s="63">
        <v>0</v>
      </c>
      <c r="O202" s="63">
        <f t="shared" si="50"/>
        <v>91049</v>
      </c>
      <c r="R202" s="62">
        <f t="shared" si="51"/>
        <v>882519</v>
      </c>
      <c r="S202" s="62"/>
      <c r="V202" s="62"/>
      <c r="W202" s="62"/>
      <c r="X202" s="62"/>
      <c r="Y202" s="62"/>
      <c r="Z202" s="62"/>
      <c r="AC202" s="99"/>
      <c r="AD202" s="99"/>
      <c r="AE202" s="99"/>
      <c r="AF202" s="98"/>
      <c r="AH202" s="98"/>
    </row>
    <row r="203" spans="1:34" ht="40.5" hidden="1" customHeight="1" x14ac:dyDescent="0.25">
      <c r="A203" s="56" t="s">
        <v>22</v>
      </c>
      <c r="B203" s="54" t="s">
        <v>12</v>
      </c>
      <c r="C203" s="55">
        <v>229433</v>
      </c>
      <c r="D203" s="55">
        <v>26392</v>
      </c>
      <c r="E203" s="55">
        <v>0</v>
      </c>
      <c r="F203" s="55">
        <v>0</v>
      </c>
      <c r="G203" s="55">
        <f t="shared" si="48"/>
        <v>26392</v>
      </c>
      <c r="H203" s="63">
        <v>171643</v>
      </c>
      <c r="I203" s="63">
        <v>0</v>
      </c>
      <c r="J203" s="63">
        <v>0</v>
      </c>
      <c r="K203" s="63">
        <f t="shared" si="49"/>
        <v>171643</v>
      </c>
      <c r="L203" s="63">
        <v>31398</v>
      </c>
      <c r="M203" s="63">
        <v>0</v>
      </c>
      <c r="N203" s="63">
        <v>0</v>
      </c>
      <c r="O203" s="63">
        <f t="shared" si="50"/>
        <v>31398</v>
      </c>
      <c r="R203" s="62">
        <f t="shared" si="51"/>
        <v>229433</v>
      </c>
      <c r="S203" s="62"/>
      <c r="V203" s="62"/>
      <c r="W203" s="62"/>
      <c r="X203" s="62"/>
      <c r="Y203" s="62"/>
      <c r="Z203" s="62"/>
      <c r="AF203" s="98"/>
      <c r="AH203" s="98"/>
    </row>
    <row r="204" spans="1:34" ht="39.75" hidden="1" customHeight="1" x14ac:dyDescent="0.25">
      <c r="A204" s="56" t="s">
        <v>23</v>
      </c>
      <c r="B204" s="54" t="s">
        <v>11</v>
      </c>
      <c r="C204" s="55">
        <f>119722+31609</f>
        <v>151331</v>
      </c>
      <c r="D204" s="55">
        <f>4720+1247</f>
        <v>5967</v>
      </c>
      <c r="E204" s="55">
        <f>7427+1960</f>
        <v>9387</v>
      </c>
      <c r="F204" s="55">
        <f>3159+834</f>
        <v>3993</v>
      </c>
      <c r="G204" s="55">
        <f t="shared" si="48"/>
        <v>19347</v>
      </c>
      <c r="H204" s="63">
        <f>25041+6614</f>
        <v>31655</v>
      </c>
      <c r="I204" s="63">
        <f>39397+10399</f>
        <v>49796</v>
      </c>
      <c r="J204" s="63">
        <f>16759+4425</f>
        <v>21184</v>
      </c>
      <c r="K204" s="63">
        <f t="shared" si="49"/>
        <v>102635</v>
      </c>
      <c r="L204" s="63">
        <f>7161+1891</f>
        <v>9052</v>
      </c>
      <c r="M204" s="63">
        <f>11266+2974</f>
        <v>14240</v>
      </c>
      <c r="N204" s="63">
        <f>4792+1265</f>
        <v>6057</v>
      </c>
      <c r="O204" s="63">
        <f t="shared" si="50"/>
        <v>29349</v>
      </c>
      <c r="R204" s="62">
        <f t="shared" si="51"/>
        <v>151331</v>
      </c>
      <c r="S204" s="62"/>
      <c r="V204" s="62"/>
      <c r="W204" s="62"/>
      <c r="X204" s="62"/>
      <c r="Y204" s="62"/>
      <c r="Z204" s="62"/>
      <c r="AC204" s="99"/>
      <c r="AD204" s="99"/>
      <c r="AE204" s="99"/>
      <c r="AF204" s="98"/>
      <c r="AH204" s="98"/>
    </row>
    <row r="205" spans="1:34" ht="28.5" hidden="1" customHeight="1" x14ac:dyDescent="0.25">
      <c r="A205" s="56" t="s">
        <v>20</v>
      </c>
      <c r="B205" s="54" t="s">
        <v>34</v>
      </c>
      <c r="C205" s="55">
        <v>190156</v>
      </c>
      <c r="D205" s="55">
        <v>35593</v>
      </c>
      <c r="E205" s="55">
        <v>0</v>
      </c>
      <c r="F205" s="55">
        <v>0</v>
      </c>
      <c r="G205" s="55">
        <f t="shared" si="48"/>
        <v>35593</v>
      </c>
      <c r="H205" s="63">
        <v>116180</v>
      </c>
      <c r="I205" s="63">
        <v>0</v>
      </c>
      <c r="J205" s="63">
        <v>0</v>
      </c>
      <c r="K205" s="63">
        <f t="shared" si="49"/>
        <v>116180</v>
      </c>
      <c r="L205" s="63">
        <v>38383</v>
      </c>
      <c r="M205" s="63">
        <v>0</v>
      </c>
      <c r="N205" s="63">
        <v>0</v>
      </c>
      <c r="O205" s="63">
        <f t="shared" si="50"/>
        <v>38383</v>
      </c>
      <c r="R205" s="62">
        <f t="shared" si="51"/>
        <v>190156</v>
      </c>
      <c r="S205" s="62"/>
      <c r="V205" s="62"/>
      <c r="W205" s="62"/>
      <c r="X205" s="62"/>
      <c r="Y205" s="62"/>
      <c r="Z205" s="62"/>
      <c r="AF205" s="98"/>
      <c r="AH205" s="98"/>
    </row>
    <row r="206" spans="1:34" ht="34.5" hidden="1" customHeight="1" x14ac:dyDescent="0.25">
      <c r="A206" s="56" t="s">
        <v>22</v>
      </c>
      <c r="B206" s="54" t="s">
        <v>10</v>
      </c>
      <c r="C206" s="55">
        <f>924291+6368</f>
        <v>930659</v>
      </c>
      <c r="D206" s="55">
        <f>20071+138</f>
        <v>20209</v>
      </c>
      <c r="E206" s="55">
        <f>26251+181</f>
        <v>26432</v>
      </c>
      <c r="F206" s="55">
        <f>1251+9</f>
        <v>1260</v>
      </c>
      <c r="G206" s="55">
        <f t="shared" si="48"/>
        <v>47901</v>
      </c>
      <c r="H206" s="63">
        <f>312170+2150</f>
        <v>314320</v>
      </c>
      <c r="I206" s="63">
        <f>408284+2813</f>
        <v>411097</v>
      </c>
      <c r="J206" s="63">
        <f>19460+134</f>
        <v>19594</v>
      </c>
      <c r="K206" s="63">
        <f t="shared" si="49"/>
        <v>745011</v>
      </c>
      <c r="L206" s="63">
        <f>57718+398</f>
        <v>58116</v>
      </c>
      <c r="M206" s="63">
        <f>75489+520</f>
        <v>76009</v>
      </c>
      <c r="N206" s="63">
        <f>3597+25</f>
        <v>3622</v>
      </c>
      <c r="O206" s="63">
        <f t="shared" si="50"/>
        <v>137747</v>
      </c>
      <c r="R206" s="62">
        <f>G206+K206+O206</f>
        <v>930659</v>
      </c>
      <c r="S206" s="62"/>
      <c r="V206" s="62"/>
      <c r="W206" s="62"/>
      <c r="X206" s="62"/>
      <c r="Y206" s="62"/>
      <c r="Z206" s="62"/>
      <c r="AC206" s="99"/>
      <c r="AD206" s="99"/>
      <c r="AE206" s="99"/>
      <c r="AF206" s="98"/>
      <c r="AH206" s="98"/>
    </row>
    <row r="207" spans="1:34" ht="25.5" hidden="1" customHeight="1" x14ac:dyDescent="0.25">
      <c r="A207" s="56" t="s">
        <v>21</v>
      </c>
      <c r="B207" s="54" t="s">
        <v>9</v>
      </c>
      <c r="C207" s="55">
        <f>494636+235839</f>
        <v>730475</v>
      </c>
      <c r="D207" s="55">
        <f>30047+14880</f>
        <v>44927</v>
      </c>
      <c r="E207" s="55">
        <f>89091+41925</f>
        <v>131016</v>
      </c>
      <c r="F207" s="55">
        <v>0</v>
      </c>
      <c r="G207" s="55">
        <f t="shared" si="48"/>
        <v>175943</v>
      </c>
      <c r="H207" s="63">
        <f>93885+46493</f>
        <v>140378</v>
      </c>
      <c r="I207" s="63">
        <f>278378+130999</f>
        <v>409377</v>
      </c>
      <c r="J207" s="63">
        <v>0</v>
      </c>
      <c r="K207" s="63">
        <f t="shared" si="49"/>
        <v>549755</v>
      </c>
      <c r="L207" s="63">
        <f>816+404</f>
        <v>1220</v>
      </c>
      <c r="M207" s="63">
        <f>2419+1138</f>
        <v>3557</v>
      </c>
      <c r="N207" s="63">
        <v>0</v>
      </c>
      <c r="O207" s="63">
        <f t="shared" si="50"/>
        <v>4777</v>
      </c>
      <c r="R207" s="62">
        <f t="shared" si="51"/>
        <v>730475</v>
      </c>
      <c r="S207" s="62"/>
      <c r="V207" s="62"/>
      <c r="W207" s="62"/>
      <c r="X207" s="62"/>
      <c r="Y207" s="62"/>
      <c r="Z207" s="62"/>
      <c r="AC207" s="99"/>
      <c r="AD207" s="99"/>
      <c r="AE207" s="99"/>
      <c r="AF207" s="98"/>
      <c r="AH207" s="98"/>
    </row>
    <row r="208" spans="1:34" ht="25.5" hidden="1" customHeight="1" x14ac:dyDescent="0.25">
      <c r="A208" s="56" t="s">
        <v>20</v>
      </c>
      <c r="B208" s="54" t="s">
        <v>8</v>
      </c>
      <c r="C208" s="55">
        <v>945273</v>
      </c>
      <c r="D208" s="55">
        <v>5698</v>
      </c>
      <c r="E208" s="55">
        <v>31640</v>
      </c>
      <c r="F208" s="55">
        <v>0</v>
      </c>
      <c r="G208" s="55">
        <f t="shared" si="48"/>
        <v>37338</v>
      </c>
      <c r="H208" s="63">
        <v>92475</v>
      </c>
      <c r="I208" s="63">
        <v>513521</v>
      </c>
      <c r="J208" s="63">
        <v>0</v>
      </c>
      <c r="K208" s="63">
        <f t="shared" si="49"/>
        <v>605996</v>
      </c>
      <c r="L208" s="63">
        <v>46076</v>
      </c>
      <c r="M208" s="63">
        <v>255863</v>
      </c>
      <c r="N208" s="63">
        <v>0</v>
      </c>
      <c r="O208" s="63">
        <f t="shared" si="50"/>
        <v>301939</v>
      </c>
      <c r="R208" s="62">
        <f t="shared" si="51"/>
        <v>945273</v>
      </c>
      <c r="S208" s="62"/>
      <c r="V208" s="62"/>
      <c r="W208" s="62"/>
      <c r="X208" s="62"/>
      <c r="Y208" s="62"/>
      <c r="Z208" s="62"/>
      <c r="AF208" s="98"/>
      <c r="AH208" s="98"/>
    </row>
    <row r="209" spans="1:34" ht="25.5" hidden="1" customHeight="1" x14ac:dyDescent="0.25">
      <c r="A209" s="56" t="s">
        <v>26</v>
      </c>
      <c r="B209" s="54" t="s">
        <v>7</v>
      </c>
      <c r="C209" s="55">
        <v>463878</v>
      </c>
      <c r="D209" s="55">
        <v>1152</v>
      </c>
      <c r="E209" s="55">
        <v>7323</v>
      </c>
      <c r="F209" s="55">
        <v>0</v>
      </c>
      <c r="G209" s="55">
        <f t="shared" si="48"/>
        <v>8475</v>
      </c>
      <c r="H209" s="63">
        <v>56269</v>
      </c>
      <c r="I209" s="63">
        <v>357779</v>
      </c>
      <c r="J209" s="63">
        <v>0</v>
      </c>
      <c r="K209" s="63">
        <f t="shared" si="49"/>
        <v>414048</v>
      </c>
      <c r="L209" s="63">
        <v>5620</v>
      </c>
      <c r="M209" s="63">
        <v>35735</v>
      </c>
      <c r="N209" s="63">
        <v>0</v>
      </c>
      <c r="O209" s="63">
        <f t="shared" si="50"/>
        <v>41355</v>
      </c>
      <c r="R209" s="62">
        <f t="shared" si="51"/>
        <v>463878</v>
      </c>
      <c r="S209" s="62"/>
      <c r="V209" s="62"/>
      <c r="W209" s="62"/>
      <c r="X209" s="62"/>
      <c r="Y209" s="62"/>
      <c r="Z209" s="62"/>
      <c r="AF209" s="98"/>
      <c r="AH209" s="98"/>
    </row>
    <row r="210" spans="1:34" ht="25.5" customHeight="1" x14ac:dyDescent="0.25">
      <c r="A210" s="56" t="s">
        <v>20</v>
      </c>
      <c r="B210" s="54" t="s">
        <v>6</v>
      </c>
      <c r="C210" s="55">
        <f>298252+404339+257833</f>
        <v>960424</v>
      </c>
      <c r="D210" s="55">
        <f>1104+1460+977</f>
        <v>3541</v>
      </c>
      <c r="E210" s="55">
        <f>956+1333+796</f>
        <v>3085</v>
      </c>
      <c r="F210" s="55">
        <f>19+25+25</f>
        <v>69</v>
      </c>
      <c r="G210" s="55">
        <f>D210+E210+F210</f>
        <v>6695</v>
      </c>
      <c r="H210" s="63">
        <f>157119+207758+138971</f>
        <v>503848</v>
      </c>
      <c r="I210" s="63">
        <f>135945+189619+113176</f>
        <v>438740</v>
      </c>
      <c r="J210" s="63">
        <f>2662+3537+3502</f>
        <v>9701</v>
      </c>
      <c r="K210" s="63">
        <f t="shared" si="49"/>
        <v>952289</v>
      </c>
      <c r="L210" s="63">
        <f>238+314+210</f>
        <v>762</v>
      </c>
      <c r="M210" s="63">
        <f>205+288+171</f>
        <v>664</v>
      </c>
      <c r="N210" s="63">
        <f>4+5+5</f>
        <v>14</v>
      </c>
      <c r="O210" s="63">
        <f t="shared" si="50"/>
        <v>1440</v>
      </c>
      <c r="R210" s="62">
        <f>G210+K210+O210</f>
        <v>960424</v>
      </c>
      <c r="S210" s="62"/>
      <c r="V210" s="62"/>
      <c r="W210" s="62"/>
      <c r="X210" s="62"/>
      <c r="Y210" s="62"/>
      <c r="Z210" s="62"/>
      <c r="AC210" s="99"/>
      <c r="AD210" s="99"/>
      <c r="AE210" s="99"/>
      <c r="AF210" s="98"/>
      <c r="AH210" s="98"/>
    </row>
    <row r="211" spans="1:34" ht="25.5" hidden="1" customHeight="1" x14ac:dyDescent="0.25">
      <c r="A211" s="56" t="s">
        <v>19</v>
      </c>
      <c r="B211" s="54" t="s">
        <v>5</v>
      </c>
      <c r="C211" s="55">
        <f>369890+467408</f>
        <v>837298</v>
      </c>
      <c r="D211" s="55">
        <f>11924+18567</f>
        <v>30491</v>
      </c>
      <c r="E211" s="55">
        <f>37188+43918</f>
        <v>81106</v>
      </c>
      <c r="F211" s="55">
        <f>2062+2181</f>
        <v>4243</v>
      </c>
      <c r="G211" s="55">
        <f t="shared" si="48"/>
        <v>115840</v>
      </c>
      <c r="H211" s="63">
        <f>73538+114508</f>
        <v>188046</v>
      </c>
      <c r="I211" s="63">
        <f>229355+270859</f>
        <v>500214</v>
      </c>
      <c r="J211" s="63">
        <f>12719+13453</f>
        <v>26172</v>
      </c>
      <c r="K211" s="63">
        <f t="shared" si="49"/>
        <v>714432</v>
      </c>
      <c r="L211" s="63">
        <f>723+1126</f>
        <v>1849</v>
      </c>
      <c r="M211" s="63">
        <f>2255+2663</f>
        <v>4918</v>
      </c>
      <c r="N211" s="63">
        <f>126+133</f>
        <v>259</v>
      </c>
      <c r="O211" s="63">
        <f t="shared" si="50"/>
        <v>7026</v>
      </c>
      <c r="R211" s="62">
        <f>G211+K211+O211</f>
        <v>837298</v>
      </c>
      <c r="S211" s="62"/>
      <c r="V211" s="62"/>
      <c r="W211" s="62"/>
      <c r="X211" s="62"/>
      <c r="Y211" s="62"/>
      <c r="Z211" s="62"/>
      <c r="AC211" s="99"/>
      <c r="AD211" s="99"/>
      <c r="AE211" s="99"/>
      <c r="AF211" s="98"/>
      <c r="AH211" s="98"/>
    </row>
    <row r="212" spans="1:34" ht="25.5" hidden="1" customHeight="1" x14ac:dyDescent="0.25">
      <c r="A212" s="56" t="s">
        <v>18</v>
      </c>
      <c r="B212" s="54" t="s">
        <v>4</v>
      </c>
      <c r="C212" s="55">
        <f>306503+440297</f>
        <v>746800</v>
      </c>
      <c r="D212" s="55">
        <f>5943+8538</f>
        <v>14481</v>
      </c>
      <c r="E212" s="55">
        <f>10016+14388</f>
        <v>24404</v>
      </c>
      <c r="F212" s="55">
        <f>414+595</f>
        <v>1009</v>
      </c>
      <c r="G212" s="55">
        <f t="shared" si="48"/>
        <v>39894</v>
      </c>
      <c r="H212" s="63">
        <f>101838+146290</f>
        <v>248128</v>
      </c>
      <c r="I212" s="63">
        <f>171610+246526</f>
        <v>418136</v>
      </c>
      <c r="J212" s="63">
        <f>7098+10193</f>
        <v>17291</v>
      </c>
      <c r="K212" s="63">
        <f t="shared" si="49"/>
        <v>683555</v>
      </c>
      <c r="L212" s="63">
        <f>3479+4997</f>
        <v>8476</v>
      </c>
      <c r="M212" s="63">
        <f>5863+8422</f>
        <v>14285</v>
      </c>
      <c r="N212" s="63">
        <f>242+348</f>
        <v>590</v>
      </c>
      <c r="O212" s="63">
        <f t="shared" si="50"/>
        <v>23351</v>
      </c>
      <c r="R212" s="62">
        <f t="shared" si="51"/>
        <v>746800</v>
      </c>
      <c r="S212" s="62"/>
      <c r="V212" s="62"/>
      <c r="W212" s="62"/>
      <c r="X212" s="62"/>
      <c r="Y212" s="62"/>
      <c r="Z212" s="62"/>
      <c r="AC212" s="99"/>
      <c r="AD212" s="99"/>
      <c r="AE212" s="99"/>
      <c r="AF212" s="98"/>
      <c r="AH212" s="98"/>
    </row>
    <row r="213" spans="1:34" ht="25.5" hidden="1" customHeight="1" x14ac:dyDescent="0.25">
      <c r="A213" s="56" t="s">
        <v>25</v>
      </c>
      <c r="B213" s="54" t="s">
        <v>3</v>
      </c>
      <c r="C213" s="55">
        <f>677961+126225</f>
        <v>804186</v>
      </c>
      <c r="D213" s="55">
        <f>32495+6050</f>
        <v>38545</v>
      </c>
      <c r="E213" s="55">
        <f>15998+2978</f>
        <v>18976</v>
      </c>
      <c r="F213" s="55">
        <f>1500+280</f>
        <v>1780</v>
      </c>
      <c r="G213" s="55">
        <f>D213+E213+F213</f>
        <v>59301</v>
      </c>
      <c r="H213" s="63">
        <f>363072+67597</f>
        <v>430669</v>
      </c>
      <c r="I213" s="63">
        <f>178743+33276</f>
        <v>212019</v>
      </c>
      <c r="J213" s="63">
        <f>16757+3124</f>
        <v>19881</v>
      </c>
      <c r="K213" s="63">
        <f t="shared" si="49"/>
        <v>662569</v>
      </c>
      <c r="L213" s="63">
        <f>45107+8398</f>
        <v>53505</v>
      </c>
      <c r="M213" s="63">
        <f>22207+4134</f>
        <v>26341</v>
      </c>
      <c r="N213" s="63">
        <f>2082+388</f>
        <v>2470</v>
      </c>
      <c r="O213" s="63">
        <f t="shared" si="50"/>
        <v>82316</v>
      </c>
      <c r="R213" s="62">
        <f t="shared" si="51"/>
        <v>804186</v>
      </c>
      <c r="S213" s="62"/>
      <c r="V213" s="62"/>
      <c r="W213" s="62"/>
      <c r="X213" s="62"/>
      <c r="Y213" s="62"/>
      <c r="Z213" s="62"/>
      <c r="AC213" s="99"/>
      <c r="AD213" s="99"/>
      <c r="AE213" s="99"/>
      <c r="AF213" s="98"/>
      <c r="AH213" s="98"/>
    </row>
    <row r="214" spans="1:34" ht="54" hidden="1" customHeight="1" x14ac:dyDescent="0.25">
      <c r="A214" s="56" t="s">
        <v>30</v>
      </c>
      <c r="B214" s="54" t="s">
        <v>2</v>
      </c>
      <c r="C214" s="55">
        <v>39742</v>
      </c>
      <c r="D214" s="55">
        <v>1125</v>
      </c>
      <c r="E214" s="55">
        <v>0</v>
      </c>
      <c r="F214" s="55">
        <v>0</v>
      </c>
      <c r="G214" s="55">
        <f t="shared" si="48"/>
        <v>1125</v>
      </c>
      <c r="H214" s="63">
        <v>33271</v>
      </c>
      <c r="I214" s="63">
        <v>0</v>
      </c>
      <c r="J214" s="63">
        <v>0</v>
      </c>
      <c r="K214" s="63">
        <f t="shared" si="49"/>
        <v>33271</v>
      </c>
      <c r="L214" s="63">
        <v>5346</v>
      </c>
      <c r="M214" s="63">
        <v>0</v>
      </c>
      <c r="N214" s="63">
        <v>0</v>
      </c>
      <c r="O214" s="63">
        <f t="shared" si="50"/>
        <v>5346</v>
      </c>
      <c r="R214" s="62">
        <f t="shared" si="51"/>
        <v>39742</v>
      </c>
      <c r="S214" s="62"/>
      <c r="V214" s="62"/>
      <c r="W214" s="62"/>
      <c r="X214" s="62"/>
      <c r="Y214" s="62"/>
      <c r="Z214" s="62"/>
      <c r="AF214" s="98"/>
      <c r="AH214" s="98"/>
    </row>
    <row r="215" spans="1:34" ht="39.75" hidden="1" customHeight="1" x14ac:dyDescent="0.25">
      <c r="A215" s="56" t="s">
        <v>31</v>
      </c>
      <c r="B215" s="54" t="s">
        <v>1</v>
      </c>
      <c r="C215" s="55">
        <v>24773</v>
      </c>
      <c r="D215" s="55">
        <v>1843</v>
      </c>
      <c r="E215" s="55">
        <v>0</v>
      </c>
      <c r="F215" s="55">
        <v>0</v>
      </c>
      <c r="G215" s="55">
        <f t="shared" si="48"/>
        <v>1843</v>
      </c>
      <c r="H215" s="63">
        <v>21931</v>
      </c>
      <c r="I215" s="63">
        <v>0</v>
      </c>
      <c r="J215" s="63">
        <v>0</v>
      </c>
      <c r="K215" s="63">
        <f t="shared" si="49"/>
        <v>21931</v>
      </c>
      <c r="L215" s="63">
        <v>999</v>
      </c>
      <c r="M215" s="63">
        <v>0</v>
      </c>
      <c r="N215" s="63">
        <v>0</v>
      </c>
      <c r="O215" s="63">
        <f t="shared" si="50"/>
        <v>999</v>
      </c>
      <c r="R215" s="62">
        <f t="shared" si="51"/>
        <v>24773</v>
      </c>
      <c r="S215" s="62"/>
      <c r="V215" s="62"/>
      <c r="W215" s="62"/>
      <c r="X215" s="62"/>
      <c r="Y215" s="62"/>
      <c r="Z215" s="62"/>
      <c r="AF215" s="98"/>
      <c r="AH215" s="98"/>
    </row>
    <row r="216" spans="1:34" ht="33" hidden="1" customHeight="1" x14ac:dyDescent="0.25">
      <c r="A216" s="56" t="s">
        <v>32</v>
      </c>
      <c r="B216" s="54" t="s">
        <v>73</v>
      </c>
      <c r="C216" s="55">
        <v>21248</v>
      </c>
      <c r="D216" s="55">
        <v>4180</v>
      </c>
      <c r="E216" s="55">
        <v>0</v>
      </c>
      <c r="F216" s="55">
        <v>0</v>
      </c>
      <c r="G216" s="55">
        <f t="shared" si="48"/>
        <v>4180</v>
      </c>
      <c r="H216" s="63">
        <v>13680</v>
      </c>
      <c r="I216" s="63">
        <v>0</v>
      </c>
      <c r="J216" s="63">
        <v>0</v>
      </c>
      <c r="K216" s="63">
        <f t="shared" si="49"/>
        <v>13680</v>
      </c>
      <c r="L216" s="63">
        <v>3388</v>
      </c>
      <c r="M216" s="63">
        <v>0</v>
      </c>
      <c r="N216" s="63">
        <v>0</v>
      </c>
      <c r="O216" s="63">
        <f t="shared" si="50"/>
        <v>3388</v>
      </c>
      <c r="R216" s="62">
        <f t="shared" si="51"/>
        <v>21248</v>
      </c>
      <c r="S216" s="62"/>
      <c r="V216" s="62"/>
      <c r="W216" s="62"/>
      <c r="X216" s="62"/>
      <c r="Y216" s="62"/>
      <c r="Z216" s="62"/>
      <c r="AF216" s="98"/>
      <c r="AH216" s="98"/>
    </row>
    <row r="217" spans="1:34" ht="33" hidden="1" customHeight="1" x14ac:dyDescent="0.25">
      <c r="A217" s="56" t="s">
        <v>90</v>
      </c>
      <c r="B217" s="70" t="s">
        <v>91</v>
      </c>
      <c r="C217" s="55">
        <f>E217+I217+M217</f>
        <v>61662</v>
      </c>
      <c r="D217" s="55">
        <v>0</v>
      </c>
      <c r="E217" s="55">
        <v>10436</v>
      </c>
      <c r="F217" s="55">
        <v>0</v>
      </c>
      <c r="G217" s="55">
        <f t="shared" si="48"/>
        <v>10436</v>
      </c>
      <c r="H217" s="63">
        <v>0</v>
      </c>
      <c r="I217" s="63">
        <v>34306</v>
      </c>
      <c r="J217" s="63">
        <v>0</v>
      </c>
      <c r="K217" s="63">
        <f t="shared" si="49"/>
        <v>34306</v>
      </c>
      <c r="L217" s="63">
        <v>0</v>
      </c>
      <c r="M217" s="63">
        <v>16920</v>
      </c>
      <c r="N217" s="63">
        <v>0</v>
      </c>
      <c r="O217" s="63">
        <f t="shared" si="50"/>
        <v>16920</v>
      </c>
      <c r="R217" s="62">
        <f t="shared" si="51"/>
        <v>61662</v>
      </c>
      <c r="S217" s="62"/>
      <c r="V217" s="62"/>
      <c r="W217" s="62"/>
      <c r="X217" s="62"/>
      <c r="Y217" s="62"/>
      <c r="Z217" s="62"/>
      <c r="AF217" s="98"/>
      <c r="AH217" s="98"/>
    </row>
    <row r="218" spans="1:34" ht="25.5" hidden="1" customHeight="1" x14ac:dyDescent="0.25">
      <c r="A218" s="57"/>
      <c r="B218" s="57" t="s">
        <v>0</v>
      </c>
      <c r="C218" s="58">
        <f>C210</f>
        <v>960424</v>
      </c>
      <c r="D218" s="58">
        <f t="shared" ref="D218:O218" si="52">D210</f>
        <v>3541</v>
      </c>
      <c r="E218" s="58">
        <f t="shared" si="52"/>
        <v>3085</v>
      </c>
      <c r="F218" s="58">
        <f t="shared" si="52"/>
        <v>69</v>
      </c>
      <c r="G218" s="58">
        <f t="shared" si="52"/>
        <v>6695</v>
      </c>
      <c r="H218" s="58">
        <f t="shared" si="52"/>
        <v>503848</v>
      </c>
      <c r="I218" s="58">
        <f t="shared" si="52"/>
        <v>438740</v>
      </c>
      <c r="J218" s="58">
        <f t="shared" si="52"/>
        <v>9701</v>
      </c>
      <c r="K218" s="58">
        <f t="shared" si="52"/>
        <v>952289</v>
      </c>
      <c r="L218" s="58">
        <f t="shared" si="52"/>
        <v>762</v>
      </c>
      <c r="M218" s="58">
        <f t="shared" si="52"/>
        <v>664</v>
      </c>
      <c r="N218" s="58">
        <f t="shared" si="52"/>
        <v>14</v>
      </c>
      <c r="O218" s="58">
        <f t="shared" si="52"/>
        <v>1440</v>
      </c>
      <c r="R218" s="62">
        <f>G218+K218+O218</f>
        <v>960424</v>
      </c>
      <c r="S218" s="62"/>
      <c r="V218" s="62"/>
      <c r="W218" s="62"/>
      <c r="X218" s="62"/>
      <c r="Y218" s="62"/>
      <c r="Z218" s="62"/>
      <c r="AF218" s="98"/>
      <c r="AH218" s="98"/>
    </row>
    <row r="220" spans="1:34" s="4" customFormat="1" ht="28.5" customHeight="1" x14ac:dyDescent="0.25">
      <c r="A220" s="152" t="s">
        <v>17</v>
      </c>
      <c r="B220" s="152" t="s">
        <v>33</v>
      </c>
      <c r="C220" s="152" t="s">
        <v>82</v>
      </c>
      <c r="D220" s="152" t="s">
        <v>69</v>
      </c>
      <c r="E220" s="152"/>
      <c r="F220" s="152"/>
      <c r="G220" s="152"/>
      <c r="H220" s="152"/>
      <c r="I220" s="152"/>
      <c r="J220" s="152"/>
      <c r="K220" s="152"/>
      <c r="L220" s="152"/>
      <c r="M220" s="152"/>
      <c r="N220" s="152"/>
      <c r="O220" s="152"/>
      <c r="R220" s="61"/>
      <c r="S220" s="61"/>
      <c r="V220" s="61"/>
      <c r="W220" s="61"/>
      <c r="X220" s="61"/>
      <c r="Y220" s="61"/>
      <c r="Z220" s="61"/>
      <c r="AC220" s="95"/>
      <c r="AD220" s="95"/>
      <c r="AE220" s="95"/>
      <c r="AF220" s="95"/>
      <c r="AG220" s="93"/>
      <c r="AH220" s="95"/>
    </row>
    <row r="221" spans="1:34" s="4" customFormat="1" ht="41.25" customHeight="1" x14ac:dyDescent="0.25">
      <c r="A221" s="152"/>
      <c r="B221" s="152"/>
      <c r="C221" s="152"/>
      <c r="D221" s="154" t="s">
        <v>36</v>
      </c>
      <c r="E221" s="154"/>
      <c r="F221" s="154"/>
      <c r="G221" s="154"/>
      <c r="H221" s="155" t="s">
        <v>37</v>
      </c>
      <c r="I221" s="156"/>
      <c r="J221" s="156"/>
      <c r="K221" s="157"/>
      <c r="L221" s="155" t="s">
        <v>38</v>
      </c>
      <c r="M221" s="156"/>
      <c r="N221" s="156"/>
      <c r="O221" s="157"/>
      <c r="R221" s="61"/>
      <c r="S221" s="61"/>
      <c r="V221" s="61"/>
      <c r="W221" s="61"/>
      <c r="X221" s="61"/>
      <c r="Y221" s="61"/>
      <c r="Z221" s="61"/>
      <c r="AC221" s="95"/>
      <c r="AD221" s="95"/>
      <c r="AE221" s="95"/>
      <c r="AF221" s="95"/>
      <c r="AG221" s="93"/>
      <c r="AH221" s="95"/>
    </row>
    <row r="222" spans="1:34" s="4" customFormat="1" ht="59.25" customHeight="1" x14ac:dyDescent="0.25">
      <c r="A222" s="152"/>
      <c r="B222" s="152"/>
      <c r="C222" s="152"/>
      <c r="D222" s="109" t="s">
        <v>66</v>
      </c>
      <c r="E222" s="109" t="s">
        <v>67</v>
      </c>
      <c r="F222" s="109" t="s">
        <v>68</v>
      </c>
      <c r="G222" s="109" t="s">
        <v>70</v>
      </c>
      <c r="H222" s="65" t="s">
        <v>66</v>
      </c>
      <c r="I222" s="65" t="s">
        <v>67</v>
      </c>
      <c r="J222" s="65" t="s">
        <v>68</v>
      </c>
      <c r="K222" s="65" t="s">
        <v>71</v>
      </c>
      <c r="L222" s="65" t="s">
        <v>66</v>
      </c>
      <c r="M222" s="65" t="s">
        <v>67</v>
      </c>
      <c r="N222" s="65" t="s">
        <v>68</v>
      </c>
      <c r="O222" s="65" t="s">
        <v>72</v>
      </c>
      <c r="R222" s="61"/>
      <c r="S222" s="61"/>
      <c r="V222" s="61"/>
      <c r="W222" s="61"/>
      <c r="X222" s="61"/>
      <c r="Y222" s="61"/>
      <c r="Z222" s="61"/>
      <c r="AC222" s="95"/>
      <c r="AD222" s="95"/>
      <c r="AE222" s="95"/>
      <c r="AF222" s="95"/>
      <c r="AG222" s="93"/>
      <c r="AH222" s="95"/>
    </row>
    <row r="223" spans="1:34" s="3" customFormat="1" ht="14.25" customHeight="1" x14ac:dyDescent="0.25">
      <c r="A223" s="53">
        <v>1</v>
      </c>
      <c r="B223" s="53">
        <v>2</v>
      </c>
      <c r="C223" s="53">
        <v>3</v>
      </c>
      <c r="D223" s="53">
        <v>4</v>
      </c>
      <c r="E223" s="53">
        <v>5</v>
      </c>
      <c r="F223" s="53">
        <v>6</v>
      </c>
      <c r="G223" s="53">
        <v>7</v>
      </c>
      <c r="H223" s="66">
        <v>8</v>
      </c>
      <c r="I223" s="66">
        <v>9</v>
      </c>
      <c r="J223" s="66">
        <v>10</v>
      </c>
      <c r="K223" s="66">
        <v>11</v>
      </c>
      <c r="L223" s="66">
        <v>12</v>
      </c>
      <c r="M223" s="66">
        <v>13</v>
      </c>
      <c r="N223" s="66">
        <v>14</v>
      </c>
      <c r="O223" s="66">
        <v>15</v>
      </c>
      <c r="R223" s="61"/>
      <c r="S223" s="61"/>
      <c r="V223" s="61"/>
      <c r="W223" s="61"/>
      <c r="X223" s="61"/>
      <c r="Y223" s="61"/>
      <c r="Z223" s="61"/>
      <c r="AC223" s="95"/>
      <c r="AD223" s="95"/>
      <c r="AE223" s="95"/>
      <c r="AF223" s="95"/>
      <c r="AG223" s="94"/>
      <c r="AH223" s="95"/>
    </row>
    <row r="224" spans="1:34" s="3" customFormat="1" ht="25.5" hidden="1" customHeight="1" x14ac:dyDescent="0.25">
      <c r="A224" s="53" t="s">
        <v>16</v>
      </c>
      <c r="B224" s="54" t="s">
        <v>15</v>
      </c>
      <c r="C224" s="55">
        <f>2110471+283039</f>
        <v>2393510</v>
      </c>
      <c r="D224" s="55">
        <f>69580+9328</f>
        <v>78908</v>
      </c>
      <c r="E224" s="55">
        <f>259716+34834</f>
        <v>294550</v>
      </c>
      <c r="F224" s="55">
        <v>0</v>
      </c>
      <c r="G224" s="55">
        <f>D224+E224+F224</f>
        <v>373458</v>
      </c>
      <c r="H224" s="63">
        <f>293395+39334</f>
        <v>332729</v>
      </c>
      <c r="I224" s="63">
        <f>1095127+146884</f>
        <v>1242011</v>
      </c>
      <c r="J224" s="63">
        <v>0</v>
      </c>
      <c r="K224" s="63">
        <f>H224+I224+J224</f>
        <v>1574740</v>
      </c>
      <c r="L224" s="63">
        <f>82968+11123</f>
        <v>94091</v>
      </c>
      <c r="M224" s="63">
        <f>309685+41536</f>
        <v>351221</v>
      </c>
      <c r="N224" s="63">
        <v>0</v>
      </c>
      <c r="O224" s="63">
        <f>L224+M224+N224</f>
        <v>445312</v>
      </c>
      <c r="R224" s="62">
        <f>G224+K224+O224</f>
        <v>2393510</v>
      </c>
      <c r="S224" s="62"/>
      <c r="V224" s="62"/>
      <c r="W224" s="62"/>
      <c r="X224" s="62"/>
      <c r="Y224" s="62"/>
      <c r="Z224" s="62"/>
      <c r="AC224" s="99"/>
      <c r="AD224" s="99"/>
      <c r="AE224" s="99"/>
      <c r="AF224" s="98"/>
      <c r="AG224" s="92"/>
      <c r="AH224" s="98"/>
    </row>
    <row r="225" spans="1:34" ht="40.5" hidden="1" customHeight="1" x14ac:dyDescent="0.25">
      <c r="A225" s="56" t="s">
        <v>24</v>
      </c>
      <c r="B225" s="54" t="s">
        <v>14</v>
      </c>
      <c r="C225" s="55">
        <v>272064</v>
      </c>
      <c r="D225" s="55">
        <v>28657</v>
      </c>
      <c r="E225" s="55">
        <v>26864</v>
      </c>
      <c r="F225" s="55">
        <v>857</v>
      </c>
      <c r="G225" s="55">
        <f t="shared" ref="G225:G241" si="53">D225+E225+F225</f>
        <v>56378</v>
      </c>
      <c r="H225" s="63">
        <v>84216</v>
      </c>
      <c r="I225" s="63">
        <v>78947</v>
      </c>
      <c r="J225" s="63">
        <v>2518</v>
      </c>
      <c r="K225" s="63">
        <f t="shared" ref="K225:K241" si="54">H225+I225+J225</f>
        <v>165681</v>
      </c>
      <c r="L225" s="63">
        <v>25418</v>
      </c>
      <c r="M225" s="63">
        <v>23827</v>
      </c>
      <c r="N225" s="63">
        <v>760</v>
      </c>
      <c r="O225" s="63">
        <f t="shared" ref="O225:O241" si="55">L225+M225+N225</f>
        <v>50005</v>
      </c>
      <c r="R225" s="62">
        <f t="shared" ref="R225:R242" si="56">G225+K225+O225</f>
        <v>272064</v>
      </c>
      <c r="S225" s="62"/>
      <c r="V225" s="62"/>
      <c r="W225" s="62"/>
      <c r="X225" s="62"/>
      <c r="Y225" s="62"/>
      <c r="Z225" s="62"/>
      <c r="AC225" s="99"/>
      <c r="AF225" s="98"/>
      <c r="AH225" s="98"/>
    </row>
    <row r="226" spans="1:34" ht="34.5" hidden="1" customHeight="1" x14ac:dyDescent="0.25">
      <c r="A226" s="56" t="s">
        <v>24</v>
      </c>
      <c r="B226" s="54" t="s">
        <v>13</v>
      </c>
      <c r="C226" s="55">
        <f>632606+21979</f>
        <v>654585</v>
      </c>
      <c r="D226" s="55">
        <v>0</v>
      </c>
      <c r="E226" s="55">
        <f>35856+1246</f>
        <v>37102</v>
      </c>
      <c r="F226" s="55">
        <v>0</v>
      </c>
      <c r="G226" s="55">
        <f t="shared" si="53"/>
        <v>37102</v>
      </c>
      <c r="H226" s="63">
        <v>0</v>
      </c>
      <c r="I226" s="63">
        <f>531484+18466</f>
        <v>549950</v>
      </c>
      <c r="J226" s="63">
        <v>0</v>
      </c>
      <c r="K226" s="63">
        <f t="shared" si="54"/>
        <v>549950</v>
      </c>
      <c r="L226" s="63">
        <v>0</v>
      </c>
      <c r="M226" s="63">
        <f>65266+2267</f>
        <v>67533</v>
      </c>
      <c r="N226" s="63">
        <v>0</v>
      </c>
      <c r="O226" s="63">
        <f t="shared" si="55"/>
        <v>67533</v>
      </c>
      <c r="R226" s="62">
        <f t="shared" si="56"/>
        <v>654585</v>
      </c>
      <c r="S226" s="62"/>
      <c r="V226" s="62"/>
      <c r="W226" s="62"/>
      <c r="X226" s="62"/>
      <c r="Y226" s="62"/>
      <c r="Z226" s="62"/>
      <c r="AC226" s="99"/>
      <c r="AD226" s="99"/>
      <c r="AE226" s="99"/>
      <c r="AF226" s="98"/>
      <c r="AH226" s="98"/>
    </row>
    <row r="227" spans="1:34" ht="40.5" hidden="1" customHeight="1" x14ac:dyDescent="0.25">
      <c r="A227" s="56" t="s">
        <v>22</v>
      </c>
      <c r="B227" s="54" t="s">
        <v>12</v>
      </c>
      <c r="C227" s="55">
        <v>129030</v>
      </c>
      <c r="D227" s="55">
        <v>14842</v>
      </c>
      <c r="E227" s="55">
        <v>0</v>
      </c>
      <c r="F227" s="55">
        <v>0</v>
      </c>
      <c r="G227" s="55">
        <f t="shared" si="53"/>
        <v>14842</v>
      </c>
      <c r="H227" s="63">
        <v>96530</v>
      </c>
      <c r="I227" s="63">
        <v>0</v>
      </c>
      <c r="J227" s="63">
        <v>0</v>
      </c>
      <c r="K227" s="63">
        <f t="shared" si="54"/>
        <v>96530</v>
      </c>
      <c r="L227" s="63">
        <v>17658</v>
      </c>
      <c r="M227" s="63">
        <v>0</v>
      </c>
      <c r="N227" s="63">
        <v>0</v>
      </c>
      <c r="O227" s="63">
        <f t="shared" si="55"/>
        <v>17658</v>
      </c>
      <c r="R227" s="62">
        <f t="shared" si="56"/>
        <v>129030</v>
      </c>
      <c r="S227" s="62"/>
      <c r="V227" s="62"/>
      <c r="W227" s="62"/>
      <c r="X227" s="62"/>
      <c r="Y227" s="62"/>
      <c r="Z227" s="62"/>
      <c r="AC227" s="99"/>
      <c r="AF227" s="98"/>
      <c r="AH227" s="98"/>
    </row>
    <row r="228" spans="1:34" ht="39.75" hidden="1" customHeight="1" x14ac:dyDescent="0.25">
      <c r="A228" s="56" t="s">
        <v>23</v>
      </c>
      <c r="B228" s="54" t="s">
        <v>11</v>
      </c>
      <c r="C228" s="55">
        <f>102891+27159</f>
        <v>130050</v>
      </c>
      <c r="D228" s="55">
        <f>4054+1070</f>
        <v>5124</v>
      </c>
      <c r="E228" s="55">
        <f>6339+1673</f>
        <v>8012</v>
      </c>
      <c r="F228" s="55">
        <f>2761+729</f>
        <v>3490</v>
      </c>
      <c r="G228" s="55">
        <f t="shared" si="53"/>
        <v>16626</v>
      </c>
      <c r="H228" s="63">
        <f>21507+5678</f>
        <v>27185</v>
      </c>
      <c r="I228" s="63">
        <f>33628+8874</f>
        <v>42502</v>
      </c>
      <c r="J228" s="63">
        <f>14647+3867</f>
        <v>18514</v>
      </c>
      <c r="K228" s="63">
        <f t="shared" si="54"/>
        <v>88201</v>
      </c>
      <c r="L228" s="63">
        <f>6150+1624</f>
        <v>7774</v>
      </c>
      <c r="M228" s="63">
        <f>9616+2538</f>
        <v>12154</v>
      </c>
      <c r="N228" s="63">
        <f>4189+1106</f>
        <v>5295</v>
      </c>
      <c r="O228" s="63">
        <f t="shared" si="55"/>
        <v>25223</v>
      </c>
      <c r="R228" s="62">
        <f t="shared" si="56"/>
        <v>130050</v>
      </c>
      <c r="S228" s="62"/>
      <c r="V228" s="62"/>
      <c r="W228" s="62"/>
      <c r="X228" s="62"/>
      <c r="Y228" s="62"/>
      <c r="Z228" s="62"/>
      <c r="AC228" s="99"/>
      <c r="AD228" s="99"/>
      <c r="AE228" s="99"/>
      <c r="AF228" s="98"/>
      <c r="AH228" s="98"/>
    </row>
    <row r="229" spans="1:34" ht="28.5" hidden="1" customHeight="1" x14ac:dyDescent="0.25">
      <c r="A229" s="56" t="s">
        <v>20</v>
      </c>
      <c r="B229" s="54" t="s">
        <v>34</v>
      </c>
      <c r="C229" s="55">
        <v>205431</v>
      </c>
      <c r="D229" s="55">
        <v>38453</v>
      </c>
      <c r="E229" s="55">
        <v>0</v>
      </c>
      <c r="F229" s="55">
        <v>0</v>
      </c>
      <c r="G229" s="55">
        <f t="shared" si="53"/>
        <v>38453</v>
      </c>
      <c r="H229" s="63">
        <v>125512</v>
      </c>
      <c r="I229" s="63">
        <v>0</v>
      </c>
      <c r="J229" s="63">
        <v>0</v>
      </c>
      <c r="K229" s="63">
        <f t="shared" si="54"/>
        <v>125512</v>
      </c>
      <c r="L229" s="63">
        <v>41466</v>
      </c>
      <c r="M229" s="63">
        <v>0</v>
      </c>
      <c r="N229" s="63">
        <v>0</v>
      </c>
      <c r="O229" s="63">
        <f t="shared" si="55"/>
        <v>41466</v>
      </c>
      <c r="R229" s="62">
        <f t="shared" si="56"/>
        <v>205431</v>
      </c>
      <c r="S229" s="62"/>
      <c r="V229" s="62"/>
      <c r="W229" s="62"/>
      <c r="X229" s="62"/>
      <c r="Y229" s="62"/>
      <c r="Z229" s="62"/>
      <c r="AC229" s="99"/>
      <c r="AF229" s="98"/>
      <c r="AH229" s="98"/>
    </row>
    <row r="230" spans="1:34" ht="34.5" hidden="1" customHeight="1" x14ac:dyDescent="0.25">
      <c r="A230" s="56" t="s">
        <v>22</v>
      </c>
      <c r="B230" s="54" t="s">
        <v>10</v>
      </c>
      <c r="C230" s="55">
        <f>689964+4751</f>
        <v>694715</v>
      </c>
      <c r="D230" s="55">
        <f>14990+103</f>
        <v>15093</v>
      </c>
      <c r="E230" s="55">
        <f>19606+135</f>
        <v>19741</v>
      </c>
      <c r="F230" s="55">
        <f>916+6</f>
        <v>922</v>
      </c>
      <c r="G230" s="55">
        <f t="shared" si="53"/>
        <v>35756</v>
      </c>
      <c r="H230" s="63">
        <f>233139+1605</f>
        <v>234744</v>
      </c>
      <c r="I230" s="63">
        <f>304941+2100</f>
        <v>307041</v>
      </c>
      <c r="J230" s="63">
        <f>14250+99</f>
        <v>14349</v>
      </c>
      <c r="K230" s="63">
        <f t="shared" si="54"/>
        <v>556134</v>
      </c>
      <c r="L230" s="63">
        <f>43106+297</f>
        <v>43403</v>
      </c>
      <c r="M230" s="63">
        <f>56381+388</f>
        <v>56769</v>
      </c>
      <c r="N230" s="63">
        <f>2635+18</f>
        <v>2653</v>
      </c>
      <c r="O230" s="63">
        <f t="shared" si="55"/>
        <v>102825</v>
      </c>
      <c r="R230" s="62">
        <f t="shared" si="56"/>
        <v>694715</v>
      </c>
      <c r="S230" s="62"/>
      <c r="V230" s="62"/>
      <c r="W230" s="62"/>
      <c r="X230" s="62"/>
      <c r="Y230" s="62"/>
      <c r="Z230" s="62"/>
      <c r="AC230" s="99"/>
      <c r="AD230" s="99"/>
      <c r="AE230" s="99"/>
      <c r="AF230" s="98"/>
      <c r="AH230" s="98"/>
    </row>
    <row r="231" spans="1:34" ht="25.5" hidden="1" customHeight="1" x14ac:dyDescent="0.25">
      <c r="A231" s="56" t="s">
        <v>21</v>
      </c>
      <c r="B231" s="54" t="s">
        <v>9</v>
      </c>
      <c r="C231" s="55">
        <f>321639+153382</f>
        <v>475021</v>
      </c>
      <c r="D231" s="55">
        <f>18430+9146</f>
        <v>27576</v>
      </c>
      <c r="E231" s="55">
        <f>59040+27798</f>
        <v>86838</v>
      </c>
      <c r="F231" s="55">
        <v>0</v>
      </c>
      <c r="G231" s="55">
        <f t="shared" si="53"/>
        <v>114414</v>
      </c>
      <c r="H231" s="63">
        <f>57587+28578</f>
        <v>86165</v>
      </c>
      <c r="I231" s="63">
        <f>184478+86857</f>
        <v>271335</v>
      </c>
      <c r="J231" s="63">
        <v>0</v>
      </c>
      <c r="K231" s="63">
        <f t="shared" si="54"/>
        <v>357500</v>
      </c>
      <c r="L231" s="63">
        <f>500+248</f>
        <v>748</v>
      </c>
      <c r="M231" s="63">
        <f>1604+755</f>
        <v>2359</v>
      </c>
      <c r="N231" s="63">
        <v>0</v>
      </c>
      <c r="O231" s="63">
        <f t="shared" si="55"/>
        <v>3107</v>
      </c>
      <c r="R231" s="62">
        <f t="shared" si="56"/>
        <v>475021</v>
      </c>
      <c r="S231" s="62"/>
      <c r="V231" s="62"/>
      <c r="W231" s="62"/>
      <c r="X231" s="62"/>
      <c r="Y231" s="62"/>
      <c r="Z231" s="62"/>
      <c r="AC231" s="99"/>
      <c r="AD231" s="99"/>
      <c r="AE231" s="99"/>
      <c r="AF231" s="98"/>
      <c r="AH231" s="98"/>
    </row>
    <row r="232" spans="1:34" ht="25.5" hidden="1" customHeight="1" x14ac:dyDescent="0.25">
      <c r="A232" s="56" t="s">
        <v>25</v>
      </c>
      <c r="B232" s="54" t="s">
        <v>8</v>
      </c>
      <c r="C232" s="55">
        <v>780365</v>
      </c>
      <c r="D232" s="55">
        <v>5043</v>
      </c>
      <c r="E232" s="55">
        <v>25781</v>
      </c>
      <c r="F232" s="55">
        <v>0</v>
      </c>
      <c r="G232" s="55">
        <f t="shared" si="53"/>
        <v>30824</v>
      </c>
      <c r="H232" s="63">
        <v>81845</v>
      </c>
      <c r="I232" s="63">
        <v>418431</v>
      </c>
      <c r="J232" s="63">
        <v>0</v>
      </c>
      <c r="K232" s="63">
        <f t="shared" si="54"/>
        <v>500276</v>
      </c>
      <c r="L232" s="63">
        <v>40780</v>
      </c>
      <c r="M232" s="63">
        <v>208485</v>
      </c>
      <c r="N232" s="63">
        <v>0</v>
      </c>
      <c r="O232" s="63">
        <f t="shared" si="55"/>
        <v>249265</v>
      </c>
      <c r="R232" s="62">
        <f t="shared" si="56"/>
        <v>780365</v>
      </c>
      <c r="S232" s="62"/>
      <c r="V232" s="62"/>
      <c r="W232" s="62"/>
      <c r="X232" s="62"/>
      <c r="Y232" s="62"/>
      <c r="Z232" s="62"/>
      <c r="AC232" s="99"/>
      <c r="AF232" s="98"/>
      <c r="AH232" s="98"/>
    </row>
    <row r="233" spans="1:34" ht="25.5" hidden="1" customHeight="1" x14ac:dyDescent="0.25">
      <c r="A233" s="56" t="s">
        <v>26</v>
      </c>
      <c r="B233" s="54" t="s">
        <v>7</v>
      </c>
      <c r="C233" s="55">
        <v>463878</v>
      </c>
      <c r="D233" s="55">
        <v>1152</v>
      </c>
      <c r="E233" s="55">
        <v>7323</v>
      </c>
      <c r="F233" s="55">
        <v>0</v>
      </c>
      <c r="G233" s="55">
        <f t="shared" si="53"/>
        <v>8475</v>
      </c>
      <c r="H233" s="63">
        <v>56269</v>
      </c>
      <c r="I233" s="63">
        <v>357779</v>
      </c>
      <c r="J233" s="63">
        <v>0</v>
      </c>
      <c r="K233" s="63">
        <f t="shared" si="54"/>
        <v>414048</v>
      </c>
      <c r="L233" s="63">
        <v>5620</v>
      </c>
      <c r="M233" s="63">
        <v>35735</v>
      </c>
      <c r="N233" s="63">
        <v>0</v>
      </c>
      <c r="O233" s="63">
        <f t="shared" si="55"/>
        <v>41355</v>
      </c>
      <c r="R233" s="62">
        <f t="shared" si="56"/>
        <v>463878</v>
      </c>
      <c r="S233" s="62"/>
      <c r="V233" s="62"/>
      <c r="W233" s="62"/>
      <c r="X233" s="62"/>
      <c r="Y233" s="62"/>
      <c r="Z233" s="62"/>
      <c r="AC233" s="99"/>
      <c r="AF233" s="98"/>
      <c r="AH233" s="98"/>
    </row>
    <row r="234" spans="1:34" ht="25.5" customHeight="1" x14ac:dyDescent="0.25">
      <c r="A234" s="56" t="s">
        <v>20</v>
      </c>
      <c r="B234" s="54" t="s">
        <v>6</v>
      </c>
      <c r="C234" s="55">
        <f>277035+376471+257834</f>
        <v>911340</v>
      </c>
      <c r="D234" s="55">
        <f>992+1314+977</f>
        <v>3283</v>
      </c>
      <c r="E234" s="55">
        <f>917+1281+796</f>
        <v>2994</v>
      </c>
      <c r="F234" s="55">
        <f>22+29+25</f>
        <v>76</v>
      </c>
      <c r="G234" s="55">
        <f t="shared" si="53"/>
        <v>6353</v>
      </c>
      <c r="H234" s="63">
        <f>141080+186878+138972</f>
        <v>466930</v>
      </c>
      <c r="I234" s="63">
        <f>130504+182253+113176</f>
        <v>425933</v>
      </c>
      <c r="J234" s="63">
        <f>3104+4151+3502</f>
        <v>10757</v>
      </c>
      <c r="K234" s="63">
        <f t="shared" si="54"/>
        <v>903620</v>
      </c>
      <c r="L234" s="63">
        <f>213+283+210</f>
        <v>706</v>
      </c>
      <c r="M234" s="63">
        <f>198+276+171</f>
        <v>645</v>
      </c>
      <c r="N234" s="63">
        <f>5+6+5</f>
        <v>16</v>
      </c>
      <c r="O234" s="63">
        <f t="shared" si="55"/>
        <v>1367</v>
      </c>
      <c r="R234" s="62">
        <f t="shared" si="56"/>
        <v>911340</v>
      </c>
      <c r="S234" s="62"/>
      <c r="V234" s="62"/>
      <c r="W234" s="62"/>
      <c r="X234" s="62"/>
      <c r="Y234" s="62"/>
      <c r="Z234" s="62"/>
      <c r="AC234" s="99"/>
      <c r="AD234" s="99"/>
      <c r="AE234" s="99"/>
      <c r="AF234" s="98"/>
      <c r="AH234" s="98"/>
    </row>
    <row r="235" spans="1:34" ht="25.5" hidden="1" customHeight="1" x14ac:dyDescent="0.25">
      <c r="A235" s="56" t="s">
        <v>19</v>
      </c>
      <c r="B235" s="54" t="s">
        <v>5</v>
      </c>
      <c r="C235" s="55">
        <f>369890+467409</f>
        <v>837299</v>
      </c>
      <c r="D235" s="55">
        <f>11924+18567</f>
        <v>30491</v>
      </c>
      <c r="E235" s="55">
        <f>37188+43918</f>
        <v>81106</v>
      </c>
      <c r="F235" s="55">
        <f>2062+2181</f>
        <v>4243</v>
      </c>
      <c r="G235" s="55">
        <f t="shared" si="53"/>
        <v>115840</v>
      </c>
      <c r="H235" s="63">
        <f>73538+114508</f>
        <v>188046</v>
      </c>
      <c r="I235" s="63">
        <f>229355+270860</f>
        <v>500215</v>
      </c>
      <c r="J235" s="63">
        <f>12719+13453</f>
        <v>26172</v>
      </c>
      <c r="K235" s="63">
        <f t="shared" si="54"/>
        <v>714433</v>
      </c>
      <c r="L235" s="63">
        <f>723+1126</f>
        <v>1849</v>
      </c>
      <c r="M235" s="63">
        <f>2256+2663</f>
        <v>4919</v>
      </c>
      <c r="N235" s="63">
        <f>125+133</f>
        <v>258</v>
      </c>
      <c r="O235" s="63">
        <f t="shared" si="55"/>
        <v>7026</v>
      </c>
      <c r="R235" s="62">
        <f t="shared" si="56"/>
        <v>837299</v>
      </c>
      <c r="S235" s="62"/>
      <c r="V235" s="62"/>
      <c r="W235" s="62"/>
      <c r="X235" s="62"/>
      <c r="Y235" s="62"/>
      <c r="Z235" s="62"/>
      <c r="AC235" s="99"/>
      <c r="AD235" s="99"/>
      <c r="AE235" s="99"/>
      <c r="AF235" s="98"/>
      <c r="AH235" s="98"/>
    </row>
    <row r="236" spans="1:34" ht="25.5" hidden="1" customHeight="1" x14ac:dyDescent="0.25">
      <c r="A236" s="56" t="s">
        <v>18</v>
      </c>
      <c r="B236" s="54" t="s">
        <v>4</v>
      </c>
      <c r="C236" s="55">
        <f>306503+439897</f>
        <v>746400</v>
      </c>
      <c r="D236" s="55">
        <f>5944+8530</f>
        <v>14474</v>
      </c>
      <c r="E236" s="55">
        <f>10016+14375</f>
        <v>24391</v>
      </c>
      <c r="F236" s="55">
        <f>414+595</f>
        <v>1009</v>
      </c>
      <c r="G236" s="55">
        <f t="shared" si="53"/>
        <v>39874</v>
      </c>
      <c r="H236" s="63">
        <f>101838+146156</f>
        <v>247994</v>
      </c>
      <c r="I236" s="63">
        <f>171610+246302</f>
        <v>417912</v>
      </c>
      <c r="J236" s="63">
        <f>7097+10184</f>
        <v>17281</v>
      </c>
      <c r="K236" s="63">
        <f t="shared" si="54"/>
        <v>683187</v>
      </c>
      <c r="L236" s="63">
        <f>3479+4993</f>
        <v>8472</v>
      </c>
      <c r="M236" s="63">
        <f>5863+8414</f>
        <v>14277</v>
      </c>
      <c r="N236" s="63">
        <f>242+348</f>
        <v>590</v>
      </c>
      <c r="O236" s="63">
        <f t="shared" si="55"/>
        <v>23339</v>
      </c>
      <c r="R236" s="62">
        <f t="shared" si="56"/>
        <v>746400</v>
      </c>
      <c r="S236" s="62"/>
      <c r="V236" s="62"/>
      <c r="W236" s="62"/>
      <c r="X236" s="62"/>
      <c r="Y236" s="62"/>
      <c r="Z236" s="62"/>
      <c r="AC236" s="99"/>
      <c r="AD236" s="99"/>
      <c r="AE236" s="99"/>
      <c r="AF236" s="98"/>
      <c r="AH236" s="98"/>
    </row>
    <row r="237" spans="1:34" ht="25.5" hidden="1" customHeight="1" x14ac:dyDescent="0.25">
      <c r="A237" s="56" t="s">
        <v>25</v>
      </c>
      <c r="B237" s="54" t="s">
        <v>3</v>
      </c>
      <c r="C237" s="55">
        <f>677961+126225</f>
        <v>804186</v>
      </c>
      <c r="D237" s="55">
        <f>32495+6050</f>
        <v>38545</v>
      </c>
      <c r="E237" s="55">
        <f>15998+2978</f>
        <v>18976</v>
      </c>
      <c r="F237" s="55">
        <f>1500+280</f>
        <v>1780</v>
      </c>
      <c r="G237" s="55">
        <f t="shared" si="53"/>
        <v>59301</v>
      </c>
      <c r="H237" s="63">
        <f>363072+67597</f>
        <v>430669</v>
      </c>
      <c r="I237" s="63">
        <f>178743+33276</f>
        <v>212019</v>
      </c>
      <c r="J237" s="63">
        <f>16757+3124</f>
        <v>19881</v>
      </c>
      <c r="K237" s="63">
        <f t="shared" si="54"/>
        <v>662569</v>
      </c>
      <c r="L237" s="63">
        <f>45107+8398</f>
        <v>53505</v>
      </c>
      <c r="M237" s="63">
        <f>22207+4134</f>
        <v>26341</v>
      </c>
      <c r="N237" s="63">
        <f>2082+388</f>
        <v>2470</v>
      </c>
      <c r="O237" s="63">
        <f t="shared" si="55"/>
        <v>82316</v>
      </c>
      <c r="R237" s="62">
        <f t="shared" si="56"/>
        <v>804186</v>
      </c>
      <c r="S237" s="62"/>
      <c r="V237" s="62"/>
      <c r="W237" s="62"/>
      <c r="X237" s="62"/>
      <c r="Y237" s="62"/>
      <c r="Z237" s="62"/>
      <c r="AC237" s="99"/>
      <c r="AD237" s="99"/>
      <c r="AE237" s="99"/>
      <c r="AF237" s="98"/>
      <c r="AH237" s="98"/>
    </row>
    <row r="238" spans="1:34" ht="54" hidden="1" customHeight="1" x14ac:dyDescent="0.25">
      <c r="A238" s="56" t="s">
        <v>30</v>
      </c>
      <c r="B238" s="54" t="s">
        <v>2</v>
      </c>
      <c r="C238" s="55">
        <v>39742</v>
      </c>
      <c r="D238" s="55">
        <v>1125</v>
      </c>
      <c r="E238" s="55">
        <v>0</v>
      </c>
      <c r="F238" s="55">
        <v>0</v>
      </c>
      <c r="G238" s="55">
        <f t="shared" si="53"/>
        <v>1125</v>
      </c>
      <c r="H238" s="63">
        <v>33271</v>
      </c>
      <c r="I238" s="63">
        <v>0</v>
      </c>
      <c r="J238" s="63">
        <v>0</v>
      </c>
      <c r="K238" s="63">
        <f t="shared" si="54"/>
        <v>33271</v>
      </c>
      <c r="L238" s="63">
        <v>5346</v>
      </c>
      <c r="M238" s="63">
        <v>0</v>
      </c>
      <c r="N238" s="63">
        <v>0</v>
      </c>
      <c r="O238" s="63">
        <f t="shared" si="55"/>
        <v>5346</v>
      </c>
      <c r="R238" s="62">
        <f t="shared" si="56"/>
        <v>39742</v>
      </c>
      <c r="S238" s="62"/>
      <c r="V238" s="62"/>
      <c r="W238" s="62"/>
      <c r="X238" s="62"/>
      <c r="Y238" s="62"/>
      <c r="Z238" s="62"/>
    </row>
    <row r="239" spans="1:34" ht="39.75" hidden="1" customHeight="1" x14ac:dyDescent="0.25">
      <c r="A239" s="56" t="s">
        <v>31</v>
      </c>
      <c r="B239" s="54" t="s">
        <v>1</v>
      </c>
      <c r="C239" s="55">
        <v>35090</v>
      </c>
      <c r="D239" s="55">
        <v>2610</v>
      </c>
      <c r="E239" s="55">
        <v>0</v>
      </c>
      <c r="F239" s="55">
        <v>0</v>
      </c>
      <c r="G239" s="55">
        <f t="shared" si="53"/>
        <v>2610</v>
      </c>
      <c r="H239" s="63">
        <v>31064</v>
      </c>
      <c r="I239" s="63">
        <v>0</v>
      </c>
      <c r="J239" s="63">
        <v>0</v>
      </c>
      <c r="K239" s="63">
        <f t="shared" si="54"/>
        <v>31064</v>
      </c>
      <c r="L239" s="63">
        <v>1416</v>
      </c>
      <c r="M239" s="63">
        <v>0</v>
      </c>
      <c r="N239" s="63">
        <v>0</v>
      </c>
      <c r="O239" s="63">
        <f t="shared" si="55"/>
        <v>1416</v>
      </c>
      <c r="R239" s="62">
        <f t="shared" si="56"/>
        <v>35090</v>
      </c>
      <c r="S239" s="62"/>
      <c r="V239" s="62"/>
      <c r="W239" s="62"/>
      <c r="X239" s="62"/>
      <c r="Y239" s="62"/>
      <c r="Z239" s="62"/>
    </row>
    <row r="240" spans="1:34" ht="33" hidden="1" customHeight="1" x14ac:dyDescent="0.25">
      <c r="A240" s="56" t="s">
        <v>32</v>
      </c>
      <c r="B240" s="54" t="s">
        <v>73</v>
      </c>
      <c r="C240" s="55">
        <v>104184</v>
      </c>
      <c r="D240" s="55">
        <v>20492</v>
      </c>
      <c r="E240" s="55">
        <v>0</v>
      </c>
      <c r="F240" s="55">
        <v>0</v>
      </c>
      <c r="G240" s="55">
        <f t="shared" si="53"/>
        <v>20492</v>
      </c>
      <c r="H240" s="63">
        <v>67080</v>
      </c>
      <c r="I240" s="63">
        <v>0</v>
      </c>
      <c r="J240" s="63">
        <v>0</v>
      </c>
      <c r="K240" s="63">
        <f t="shared" si="54"/>
        <v>67080</v>
      </c>
      <c r="L240" s="63">
        <v>16612</v>
      </c>
      <c r="M240" s="63">
        <v>0</v>
      </c>
      <c r="N240" s="63">
        <v>0</v>
      </c>
      <c r="O240" s="63">
        <f t="shared" si="55"/>
        <v>16612</v>
      </c>
      <c r="R240" s="62">
        <f t="shared" si="56"/>
        <v>104184</v>
      </c>
      <c r="S240" s="62"/>
      <c r="V240" s="62"/>
      <c r="W240" s="62"/>
      <c r="X240" s="62"/>
      <c r="Y240" s="62"/>
      <c r="Z240" s="62"/>
    </row>
    <row r="241" spans="1:34" ht="33" hidden="1" customHeight="1" x14ac:dyDescent="0.25">
      <c r="A241" s="56" t="s">
        <v>90</v>
      </c>
      <c r="B241" s="70" t="s">
        <v>91</v>
      </c>
      <c r="C241" s="55">
        <f>E241+I241+M241</f>
        <v>61662</v>
      </c>
      <c r="D241" s="55">
        <v>0</v>
      </c>
      <c r="E241" s="55">
        <v>10436</v>
      </c>
      <c r="F241" s="55">
        <v>0</v>
      </c>
      <c r="G241" s="55">
        <f t="shared" si="53"/>
        <v>10436</v>
      </c>
      <c r="H241" s="63">
        <v>0</v>
      </c>
      <c r="I241" s="63">
        <v>34306</v>
      </c>
      <c r="J241" s="63">
        <v>0</v>
      </c>
      <c r="K241" s="63">
        <f t="shared" si="54"/>
        <v>34306</v>
      </c>
      <c r="L241" s="63">
        <v>0</v>
      </c>
      <c r="M241" s="63">
        <v>16920</v>
      </c>
      <c r="N241" s="63">
        <v>0</v>
      </c>
      <c r="O241" s="63">
        <f t="shared" si="55"/>
        <v>16920</v>
      </c>
      <c r="R241" s="62">
        <f t="shared" si="56"/>
        <v>61662</v>
      </c>
      <c r="S241" s="62"/>
      <c r="V241" s="62"/>
      <c r="W241" s="62"/>
      <c r="X241" s="62"/>
      <c r="Y241" s="62"/>
      <c r="Z241" s="62"/>
    </row>
    <row r="242" spans="1:34" ht="25.5" hidden="1" customHeight="1" x14ac:dyDescent="0.25">
      <c r="A242" s="57"/>
      <c r="B242" s="57" t="s">
        <v>0</v>
      </c>
      <c r="C242" s="58">
        <f>C224+C226+C228+C230+C231+C234+C235+C236+C237</f>
        <v>7647106</v>
      </c>
      <c r="D242" s="58">
        <f t="shared" ref="D242:O242" si="57">D224+D226+D228+D230+D231+D234+D235+D236+D237</f>
        <v>213494</v>
      </c>
      <c r="E242" s="58">
        <f>E224+E226+E228+E230+E231+E234+E235+E236+E237</f>
        <v>573710</v>
      </c>
      <c r="F242" s="58">
        <f t="shared" si="57"/>
        <v>11520</v>
      </c>
      <c r="G242" s="58">
        <f t="shared" si="57"/>
        <v>798724</v>
      </c>
      <c r="H242" s="58">
        <f t="shared" si="57"/>
        <v>2014462</v>
      </c>
      <c r="I242" s="58">
        <f t="shared" si="57"/>
        <v>3968918</v>
      </c>
      <c r="J242" s="58">
        <f t="shared" si="57"/>
        <v>106954</v>
      </c>
      <c r="K242" s="58">
        <f t="shared" si="57"/>
        <v>6090334</v>
      </c>
      <c r="L242" s="58">
        <f t="shared" si="57"/>
        <v>210548</v>
      </c>
      <c r="M242" s="58">
        <f t="shared" si="57"/>
        <v>536218</v>
      </c>
      <c r="N242" s="58">
        <f t="shared" si="57"/>
        <v>11282</v>
      </c>
      <c r="O242" s="58">
        <f t="shared" si="57"/>
        <v>758048</v>
      </c>
      <c r="R242" s="62">
        <f t="shared" si="56"/>
        <v>7647106</v>
      </c>
      <c r="S242" s="62"/>
      <c r="V242" s="62"/>
      <c r="W242" s="62"/>
      <c r="X242" s="62"/>
      <c r="Y242" s="62"/>
      <c r="Z242" s="62"/>
    </row>
    <row r="243" spans="1:34" ht="25.5" customHeight="1" x14ac:dyDescent="0.25">
      <c r="A243" s="80"/>
      <c r="B243" s="80"/>
      <c r="C243" s="81"/>
      <c r="D243" s="81"/>
      <c r="E243" s="81"/>
      <c r="F243" s="81"/>
      <c r="G243" s="81"/>
      <c r="H243" s="81"/>
      <c r="I243" s="81"/>
      <c r="J243" s="81"/>
      <c r="K243" s="81"/>
      <c r="L243" s="81"/>
      <c r="M243" s="81"/>
      <c r="N243" s="81"/>
      <c r="O243" s="81"/>
      <c r="R243" s="62"/>
      <c r="S243" s="62"/>
    </row>
    <row r="244" spans="1:34" hidden="1" x14ac:dyDescent="0.25">
      <c r="A244" s="161" t="s">
        <v>94</v>
      </c>
      <c r="B244" s="161"/>
      <c r="C244" s="161"/>
      <c r="D244" s="161"/>
      <c r="E244" s="161"/>
      <c r="F244" s="161"/>
      <c r="G244" s="161"/>
      <c r="H244" s="161"/>
      <c r="I244" s="161"/>
      <c r="J244" s="161"/>
      <c r="K244" s="161"/>
      <c r="L244" s="161"/>
      <c r="M244" s="161"/>
      <c r="N244" s="161"/>
      <c r="O244" s="161"/>
    </row>
    <row r="245" spans="1:34" s="4" customFormat="1" ht="28.5" customHeight="1" x14ac:dyDescent="0.25">
      <c r="A245" s="152" t="s">
        <v>17</v>
      </c>
      <c r="B245" s="152" t="s">
        <v>33</v>
      </c>
      <c r="C245" s="152" t="s">
        <v>83</v>
      </c>
      <c r="D245" s="152" t="s">
        <v>69</v>
      </c>
      <c r="E245" s="152"/>
      <c r="F245" s="152"/>
      <c r="G245" s="152"/>
      <c r="H245" s="152"/>
      <c r="I245" s="152"/>
      <c r="J245" s="152"/>
      <c r="K245" s="152"/>
      <c r="L245" s="152"/>
      <c r="M245" s="152"/>
      <c r="N245" s="152"/>
      <c r="O245" s="152"/>
      <c r="R245" s="61"/>
      <c r="S245" s="61"/>
      <c r="V245" s="61"/>
      <c r="W245" s="61"/>
      <c r="X245" s="61"/>
      <c r="Y245" s="61"/>
      <c r="Z245" s="61"/>
      <c r="AC245" s="95"/>
      <c r="AD245" s="95"/>
      <c r="AE245" s="95"/>
      <c r="AF245" s="95"/>
      <c r="AG245" s="93"/>
      <c r="AH245" s="95"/>
    </row>
    <row r="246" spans="1:34" s="4" customFormat="1" ht="41.25" customHeight="1" x14ac:dyDescent="0.25">
      <c r="A246" s="152"/>
      <c r="B246" s="152"/>
      <c r="C246" s="152"/>
      <c r="D246" s="154" t="s">
        <v>36</v>
      </c>
      <c r="E246" s="154"/>
      <c r="F246" s="154"/>
      <c r="G246" s="154"/>
      <c r="H246" s="155" t="s">
        <v>37</v>
      </c>
      <c r="I246" s="156"/>
      <c r="J246" s="156"/>
      <c r="K246" s="157"/>
      <c r="L246" s="155" t="s">
        <v>38</v>
      </c>
      <c r="M246" s="156"/>
      <c r="N246" s="156"/>
      <c r="O246" s="157"/>
      <c r="R246" s="61"/>
      <c r="S246" s="61"/>
      <c r="V246" s="61"/>
      <c r="W246" s="61"/>
      <c r="X246" s="61"/>
      <c r="Y246" s="61"/>
      <c r="Z246" s="61"/>
      <c r="AC246" s="95"/>
      <c r="AD246" s="95"/>
      <c r="AE246" s="95"/>
      <c r="AF246" s="95"/>
      <c r="AG246" s="93"/>
      <c r="AH246" s="95"/>
    </row>
    <row r="247" spans="1:34" s="4" customFormat="1" ht="59.25" customHeight="1" x14ac:dyDescent="0.25">
      <c r="A247" s="152"/>
      <c r="B247" s="152"/>
      <c r="C247" s="152"/>
      <c r="D247" s="109" t="s">
        <v>66</v>
      </c>
      <c r="E247" s="109" t="s">
        <v>67</v>
      </c>
      <c r="F247" s="109" t="s">
        <v>68</v>
      </c>
      <c r="G247" s="109" t="s">
        <v>70</v>
      </c>
      <c r="H247" s="65" t="s">
        <v>66</v>
      </c>
      <c r="I247" s="65" t="s">
        <v>67</v>
      </c>
      <c r="J247" s="65" t="s">
        <v>68</v>
      </c>
      <c r="K247" s="65" t="s">
        <v>71</v>
      </c>
      <c r="L247" s="65" t="s">
        <v>66</v>
      </c>
      <c r="M247" s="65" t="s">
        <v>67</v>
      </c>
      <c r="N247" s="65" t="s">
        <v>68</v>
      </c>
      <c r="O247" s="65" t="s">
        <v>72</v>
      </c>
      <c r="R247" s="61"/>
      <c r="S247" s="61"/>
      <c r="V247" s="61"/>
      <c r="W247" s="61"/>
      <c r="X247" s="61"/>
      <c r="Y247" s="61"/>
      <c r="Z247" s="61"/>
      <c r="AC247" s="95"/>
      <c r="AD247" s="95"/>
      <c r="AE247" s="95"/>
      <c r="AF247" s="95"/>
      <c r="AG247" s="93"/>
      <c r="AH247" s="95"/>
    </row>
    <row r="248" spans="1:34" s="3" customFormat="1" ht="14.25" customHeight="1" x14ac:dyDescent="0.25">
      <c r="A248" s="53">
        <v>1</v>
      </c>
      <c r="B248" s="53">
        <v>2</v>
      </c>
      <c r="C248" s="53">
        <v>3</v>
      </c>
      <c r="D248" s="53">
        <v>4</v>
      </c>
      <c r="E248" s="53">
        <v>5</v>
      </c>
      <c r="F248" s="53">
        <v>6</v>
      </c>
      <c r="G248" s="53">
        <v>7</v>
      </c>
      <c r="H248" s="66">
        <v>8</v>
      </c>
      <c r="I248" s="66">
        <v>9</v>
      </c>
      <c r="J248" s="66">
        <v>10</v>
      </c>
      <c r="K248" s="66">
        <v>11</v>
      </c>
      <c r="L248" s="66">
        <v>12</v>
      </c>
      <c r="M248" s="66">
        <v>13</v>
      </c>
      <c r="N248" s="66">
        <v>14</v>
      </c>
      <c r="O248" s="66">
        <v>15</v>
      </c>
      <c r="R248" s="61"/>
      <c r="S248" s="61"/>
      <c r="V248" s="61"/>
      <c r="W248" s="61"/>
      <c r="X248" s="61"/>
      <c r="Y248" s="61"/>
      <c r="Z248" s="61"/>
      <c r="AC248" s="95"/>
      <c r="AD248" s="95"/>
      <c r="AE248" s="95"/>
      <c r="AF248" s="95"/>
      <c r="AG248" s="94"/>
      <c r="AH248" s="95"/>
    </row>
    <row r="249" spans="1:34" s="3" customFormat="1" ht="25.5" hidden="1" customHeight="1" x14ac:dyDescent="0.25">
      <c r="A249" s="53" t="s">
        <v>16</v>
      </c>
      <c r="B249" s="54" t="s">
        <v>15</v>
      </c>
      <c r="C249" s="55">
        <f>2129231+285489</f>
        <v>2414720</v>
      </c>
      <c r="D249" s="55">
        <f>70133+9395</f>
        <v>79528</v>
      </c>
      <c r="E249" s="55">
        <f>262091+35150</f>
        <v>297241</v>
      </c>
      <c r="F249" s="55">
        <v>0</v>
      </c>
      <c r="G249" s="55">
        <f>D249+E249+F249</f>
        <v>376769</v>
      </c>
      <c r="H249" s="63">
        <f>295722+39614</f>
        <v>335336</v>
      </c>
      <c r="I249" s="63">
        <f>1105141+148215</f>
        <v>1253356</v>
      </c>
      <c r="J249" s="63">
        <v>0</v>
      </c>
      <c r="K249" s="63">
        <f>H249+I249+J249</f>
        <v>1588692</v>
      </c>
      <c r="L249" s="63">
        <f>83626+11202</f>
        <v>94828</v>
      </c>
      <c r="M249" s="63">
        <f>312518+41913</f>
        <v>354431</v>
      </c>
      <c r="N249" s="63">
        <v>0</v>
      </c>
      <c r="O249" s="63">
        <f>L249+M249+N249</f>
        <v>449259</v>
      </c>
      <c r="R249" s="62">
        <f>G249+K249+O249</f>
        <v>2414720</v>
      </c>
      <c r="S249" s="62"/>
      <c r="V249" s="62"/>
      <c r="W249" s="62"/>
      <c r="X249" s="62"/>
      <c r="Y249" s="62"/>
      <c r="Z249" s="62"/>
      <c r="AC249" s="99"/>
      <c r="AD249" s="99"/>
      <c r="AE249" s="99"/>
      <c r="AF249" s="98"/>
      <c r="AG249" s="92"/>
      <c r="AH249" s="98"/>
    </row>
    <row r="250" spans="1:34" ht="40.5" hidden="1" customHeight="1" x14ac:dyDescent="0.25">
      <c r="A250" s="56" t="s">
        <v>24</v>
      </c>
      <c r="B250" s="54" t="s">
        <v>14</v>
      </c>
      <c r="C250" s="55">
        <v>271373</v>
      </c>
      <c r="D250" s="55">
        <v>28539</v>
      </c>
      <c r="E250" s="55">
        <v>26840</v>
      </c>
      <c r="F250" s="55">
        <v>855</v>
      </c>
      <c r="G250" s="55">
        <f t="shared" ref="G250:G266" si="58">D250+E250+F250</f>
        <v>56234</v>
      </c>
      <c r="H250" s="63">
        <v>83870</v>
      </c>
      <c r="I250" s="63">
        <v>78879</v>
      </c>
      <c r="J250" s="63">
        <v>2512</v>
      </c>
      <c r="K250" s="63">
        <f t="shared" ref="K250:K266" si="59">H250+I250+J250</f>
        <v>165261</v>
      </c>
      <c r="L250" s="63">
        <v>25313</v>
      </c>
      <c r="M250" s="63">
        <v>23807</v>
      </c>
      <c r="N250" s="63">
        <v>758</v>
      </c>
      <c r="O250" s="63">
        <f t="shared" ref="O250:O266" si="60">L250+M250+N250</f>
        <v>49878</v>
      </c>
      <c r="R250" s="62">
        <f t="shared" ref="R250:R267" si="61">G250+K250+O250</f>
        <v>271373</v>
      </c>
      <c r="S250" s="62"/>
      <c r="V250" s="62"/>
      <c r="W250" s="62"/>
      <c r="X250" s="62"/>
      <c r="Y250" s="62"/>
      <c r="Z250" s="62"/>
      <c r="AC250" s="99"/>
      <c r="AF250" s="98"/>
      <c r="AH250" s="98"/>
    </row>
    <row r="251" spans="1:34" ht="34.5" hidden="1" customHeight="1" x14ac:dyDescent="0.25">
      <c r="A251" s="56" t="s">
        <v>24</v>
      </c>
      <c r="B251" s="54" t="s">
        <v>13</v>
      </c>
      <c r="C251" s="55">
        <f>667382+23221</f>
        <v>690603</v>
      </c>
      <c r="D251" s="55">
        <v>0</v>
      </c>
      <c r="E251" s="55">
        <f>37827+1316</f>
        <v>39143</v>
      </c>
      <c r="F251" s="55">
        <v>0</v>
      </c>
      <c r="G251" s="55">
        <f t="shared" si="58"/>
        <v>39143</v>
      </c>
      <c r="H251" s="63">
        <v>0</v>
      </c>
      <c r="I251" s="63">
        <f>560701+19509</f>
        <v>580210</v>
      </c>
      <c r="J251" s="63">
        <v>0</v>
      </c>
      <c r="K251" s="63">
        <f t="shared" si="59"/>
        <v>580210</v>
      </c>
      <c r="L251" s="63">
        <v>0</v>
      </c>
      <c r="M251" s="63">
        <f>68854+2396</f>
        <v>71250</v>
      </c>
      <c r="N251" s="63">
        <v>0</v>
      </c>
      <c r="O251" s="63">
        <f t="shared" si="60"/>
        <v>71250</v>
      </c>
      <c r="R251" s="62">
        <f t="shared" si="61"/>
        <v>690603</v>
      </c>
      <c r="S251" s="62"/>
      <c r="V251" s="62"/>
      <c r="W251" s="62"/>
      <c r="X251" s="62"/>
      <c r="Y251" s="62"/>
      <c r="Z251" s="62"/>
      <c r="AC251" s="99"/>
      <c r="AD251" s="99"/>
      <c r="AE251" s="99"/>
      <c r="AF251" s="98"/>
      <c r="AH251" s="98"/>
    </row>
    <row r="252" spans="1:34" ht="40.5" hidden="1" customHeight="1" x14ac:dyDescent="0.25">
      <c r="A252" s="56" t="s">
        <v>22</v>
      </c>
      <c r="B252" s="54" t="s">
        <v>12</v>
      </c>
      <c r="C252" s="55">
        <v>150289</v>
      </c>
      <c r="D252" s="55">
        <v>17288</v>
      </c>
      <c r="E252" s="55">
        <v>0</v>
      </c>
      <c r="F252" s="55">
        <v>0</v>
      </c>
      <c r="G252" s="55">
        <f t="shared" si="58"/>
        <v>17288</v>
      </c>
      <c r="H252" s="63">
        <v>112434</v>
      </c>
      <c r="I252" s="63">
        <v>0</v>
      </c>
      <c r="J252" s="63">
        <v>0</v>
      </c>
      <c r="K252" s="63">
        <f t="shared" si="59"/>
        <v>112434</v>
      </c>
      <c r="L252" s="63">
        <v>20567</v>
      </c>
      <c r="M252" s="63">
        <v>0</v>
      </c>
      <c r="N252" s="63">
        <v>0</v>
      </c>
      <c r="O252" s="63">
        <f t="shared" si="60"/>
        <v>20567</v>
      </c>
      <c r="R252" s="62">
        <f t="shared" si="61"/>
        <v>150289</v>
      </c>
      <c r="S252" s="62"/>
      <c r="V252" s="62"/>
      <c r="W252" s="62"/>
      <c r="X252" s="62"/>
      <c r="Y252" s="62"/>
      <c r="Z252" s="62"/>
      <c r="AC252" s="99"/>
      <c r="AF252" s="98"/>
      <c r="AH252" s="98"/>
    </row>
    <row r="253" spans="1:34" ht="39.75" hidden="1" customHeight="1" x14ac:dyDescent="0.25">
      <c r="A253" s="56" t="s">
        <v>23</v>
      </c>
      <c r="B253" s="54" t="s">
        <v>11</v>
      </c>
      <c r="C253" s="55">
        <f>110352+29096</f>
        <v>139448</v>
      </c>
      <c r="D253" s="55">
        <f>4333+1142</f>
        <v>5475</v>
      </c>
      <c r="E253" s="55">
        <f>6814+1796</f>
        <v>8610</v>
      </c>
      <c r="F253" s="55">
        <f>2961+781</f>
        <v>3742</v>
      </c>
      <c r="G253" s="55">
        <f t="shared" si="58"/>
        <v>17827</v>
      </c>
      <c r="H253" s="63">
        <f>22984+6060</f>
        <v>29044</v>
      </c>
      <c r="I253" s="63">
        <f>36149+9530</f>
        <v>45679</v>
      </c>
      <c r="J253" s="63">
        <f>15709+4143</f>
        <v>19852</v>
      </c>
      <c r="K253" s="63">
        <f t="shared" si="59"/>
        <v>94575</v>
      </c>
      <c r="L253" s="63">
        <f>6573+1733</f>
        <v>8306</v>
      </c>
      <c r="M253" s="63">
        <f>10337+2725</f>
        <v>13062</v>
      </c>
      <c r="N253" s="63">
        <f>4492+1186</f>
        <v>5678</v>
      </c>
      <c r="O253" s="63">
        <f t="shared" si="60"/>
        <v>27046</v>
      </c>
      <c r="R253" s="62">
        <f>G253+K253+O253</f>
        <v>139448</v>
      </c>
      <c r="S253" s="62"/>
      <c r="V253" s="62"/>
      <c r="W253" s="62"/>
      <c r="X253" s="62"/>
      <c r="Y253" s="62"/>
      <c r="Z253" s="62"/>
      <c r="AC253" s="99"/>
      <c r="AD253" s="99"/>
      <c r="AE253" s="99"/>
      <c r="AF253" s="98"/>
      <c r="AH253" s="98"/>
    </row>
    <row r="254" spans="1:34" ht="28.5" hidden="1" customHeight="1" x14ac:dyDescent="0.25">
      <c r="A254" s="56" t="s">
        <v>20</v>
      </c>
      <c r="B254" s="54" t="s">
        <v>34</v>
      </c>
      <c r="C254" s="55">
        <v>206367</v>
      </c>
      <c r="D254" s="55">
        <v>38628</v>
      </c>
      <c r="E254" s="55">
        <v>0</v>
      </c>
      <c r="F254" s="55">
        <v>0</v>
      </c>
      <c r="G254" s="55">
        <f t="shared" si="58"/>
        <v>38628</v>
      </c>
      <c r="H254" s="63">
        <v>126084</v>
      </c>
      <c r="I254" s="63">
        <v>0</v>
      </c>
      <c r="J254" s="63">
        <v>0</v>
      </c>
      <c r="K254" s="63">
        <f t="shared" si="59"/>
        <v>126084</v>
      </c>
      <c r="L254" s="63">
        <v>41655</v>
      </c>
      <c r="M254" s="63">
        <v>0</v>
      </c>
      <c r="N254" s="63">
        <v>0</v>
      </c>
      <c r="O254" s="63">
        <f t="shared" si="60"/>
        <v>41655</v>
      </c>
      <c r="R254" s="62">
        <f t="shared" si="61"/>
        <v>206367</v>
      </c>
      <c r="S254" s="62"/>
      <c r="V254" s="62"/>
      <c r="W254" s="62"/>
      <c r="X254" s="62"/>
      <c r="Y254" s="62"/>
      <c r="Z254" s="62"/>
      <c r="AC254" s="99"/>
      <c r="AF254" s="98"/>
      <c r="AH254" s="98"/>
    </row>
    <row r="255" spans="1:34" ht="34.5" hidden="1" customHeight="1" x14ac:dyDescent="0.25">
      <c r="A255" s="56" t="s">
        <v>22</v>
      </c>
      <c r="B255" s="54" t="s">
        <v>10</v>
      </c>
      <c r="C255" s="55">
        <f>702982+4842</f>
        <v>707824</v>
      </c>
      <c r="D255" s="55">
        <f>15273+105</f>
        <v>15378</v>
      </c>
      <c r="E255" s="55">
        <f>19976+138</f>
        <v>20114</v>
      </c>
      <c r="F255" s="55">
        <f>934+6</f>
        <v>940</v>
      </c>
      <c r="G255" s="55">
        <f t="shared" si="58"/>
        <v>36432</v>
      </c>
      <c r="H255" s="63">
        <f>237537+1636</f>
        <v>239173</v>
      </c>
      <c r="I255" s="63">
        <f>310695+2140</f>
        <v>312835</v>
      </c>
      <c r="J255" s="63">
        <f>14519+100</f>
        <v>14619</v>
      </c>
      <c r="K255" s="63">
        <f t="shared" si="59"/>
        <v>566627</v>
      </c>
      <c r="L255" s="63">
        <f>43918+303</f>
        <v>44221</v>
      </c>
      <c r="M255" s="63">
        <f>57445+396</f>
        <v>57841</v>
      </c>
      <c r="N255" s="63">
        <f>2685+18</f>
        <v>2703</v>
      </c>
      <c r="O255" s="63">
        <f t="shared" si="60"/>
        <v>104765</v>
      </c>
      <c r="R255" s="62">
        <f t="shared" si="61"/>
        <v>707824</v>
      </c>
      <c r="S255" s="62"/>
      <c r="V255" s="62"/>
      <c r="W255" s="62"/>
      <c r="X255" s="62"/>
      <c r="Y255" s="62"/>
      <c r="Z255" s="62"/>
      <c r="AC255" s="99"/>
      <c r="AD255" s="99"/>
      <c r="AE255" s="99"/>
      <c r="AF255" s="98"/>
      <c r="AH255" s="98"/>
    </row>
    <row r="256" spans="1:34" ht="25.5" hidden="1" customHeight="1" x14ac:dyDescent="0.25">
      <c r="A256" s="56" t="s">
        <v>21</v>
      </c>
      <c r="B256" s="54" t="s">
        <v>9</v>
      </c>
      <c r="C256" s="55">
        <f>329197+157060</f>
        <v>486257</v>
      </c>
      <c r="D256" s="55">
        <f>19370+9604</f>
        <v>28974</v>
      </c>
      <c r="E256" s="55">
        <f>59920+28226</f>
        <v>88146</v>
      </c>
      <c r="F256" s="55">
        <v>0</v>
      </c>
      <c r="G256" s="55">
        <f t="shared" si="58"/>
        <v>117120</v>
      </c>
      <c r="H256" s="63">
        <f>60526+30008</f>
        <v>90534</v>
      </c>
      <c r="I256" s="63">
        <f>187228+88195</f>
        <v>275423</v>
      </c>
      <c r="J256" s="63">
        <v>0</v>
      </c>
      <c r="K256" s="63">
        <f t="shared" si="59"/>
        <v>365957</v>
      </c>
      <c r="L256" s="63">
        <f>526+261</f>
        <v>787</v>
      </c>
      <c r="M256" s="63">
        <f>1627+766</f>
        <v>2393</v>
      </c>
      <c r="N256" s="63">
        <v>0</v>
      </c>
      <c r="O256" s="63">
        <f t="shared" si="60"/>
        <v>3180</v>
      </c>
      <c r="R256" s="62">
        <f t="shared" si="61"/>
        <v>486257</v>
      </c>
      <c r="S256" s="62"/>
      <c r="V256" s="62"/>
      <c r="W256" s="62"/>
      <c r="X256" s="62"/>
      <c r="Y256" s="62"/>
      <c r="Z256" s="62"/>
      <c r="AC256" s="99"/>
      <c r="AD256" s="99"/>
      <c r="AE256" s="99"/>
      <c r="AF256" s="98"/>
      <c r="AH256" s="98"/>
    </row>
    <row r="257" spans="1:34" ht="25.5" hidden="1" customHeight="1" x14ac:dyDescent="0.25">
      <c r="A257" s="56" t="s">
        <v>25</v>
      </c>
      <c r="B257" s="54" t="s">
        <v>8</v>
      </c>
      <c r="C257" s="55">
        <v>606623</v>
      </c>
      <c r="D257" s="55">
        <v>5133</v>
      </c>
      <c r="E257" s="55">
        <v>18829</v>
      </c>
      <c r="F257" s="55">
        <v>0</v>
      </c>
      <c r="G257" s="55">
        <f t="shared" si="58"/>
        <v>23962</v>
      </c>
      <c r="H257" s="63">
        <v>83301</v>
      </c>
      <c r="I257" s="63">
        <v>305593</v>
      </c>
      <c r="J257" s="63">
        <v>0</v>
      </c>
      <c r="K257" s="63">
        <f t="shared" si="59"/>
        <v>388894</v>
      </c>
      <c r="L257" s="63">
        <v>41505</v>
      </c>
      <c r="M257" s="63">
        <v>152262</v>
      </c>
      <c r="N257" s="63">
        <v>0</v>
      </c>
      <c r="O257" s="63">
        <f t="shared" si="60"/>
        <v>193767</v>
      </c>
      <c r="R257" s="62">
        <f t="shared" si="61"/>
        <v>606623</v>
      </c>
      <c r="S257" s="62"/>
      <c r="V257" s="62"/>
      <c r="W257" s="62"/>
      <c r="X257" s="62"/>
      <c r="Y257" s="62"/>
      <c r="Z257" s="62"/>
      <c r="AC257" s="99"/>
      <c r="AF257" s="98"/>
      <c r="AH257" s="98"/>
    </row>
    <row r="258" spans="1:34" ht="25.5" hidden="1" customHeight="1" x14ac:dyDescent="0.25">
      <c r="A258" s="56" t="s">
        <v>26</v>
      </c>
      <c r="B258" s="54" t="s">
        <v>7</v>
      </c>
      <c r="C258" s="55">
        <v>588115</v>
      </c>
      <c r="D258" s="55">
        <v>1601</v>
      </c>
      <c r="E258" s="55">
        <v>9144</v>
      </c>
      <c r="F258" s="55">
        <v>0</v>
      </c>
      <c r="G258" s="55">
        <f t="shared" si="58"/>
        <v>10745</v>
      </c>
      <c r="H258" s="63">
        <v>78216</v>
      </c>
      <c r="I258" s="63">
        <v>446724</v>
      </c>
      <c r="J258" s="63">
        <v>0</v>
      </c>
      <c r="K258" s="63">
        <f t="shared" si="59"/>
        <v>524940</v>
      </c>
      <c r="L258" s="63">
        <v>7812</v>
      </c>
      <c r="M258" s="63">
        <v>44618</v>
      </c>
      <c r="N258" s="63">
        <v>0</v>
      </c>
      <c r="O258" s="63">
        <f t="shared" si="60"/>
        <v>52430</v>
      </c>
      <c r="R258" s="62">
        <f t="shared" si="61"/>
        <v>588115</v>
      </c>
      <c r="S258" s="62"/>
      <c r="V258" s="62"/>
      <c r="W258" s="62"/>
      <c r="X258" s="62"/>
      <c r="Y258" s="62"/>
      <c r="Z258" s="62"/>
      <c r="AC258" s="99"/>
      <c r="AF258" s="98"/>
      <c r="AH258" s="98"/>
    </row>
    <row r="259" spans="1:34" ht="25.5" customHeight="1" x14ac:dyDescent="0.25">
      <c r="A259" s="56" t="s">
        <v>20</v>
      </c>
      <c r="B259" s="54" t="s">
        <v>6</v>
      </c>
      <c r="C259" s="55">
        <f>399488+540524+257834</f>
        <v>1197846</v>
      </c>
      <c r="D259" s="55">
        <f>1578+2086+977</f>
        <v>4641</v>
      </c>
      <c r="E259" s="55">
        <f>1180+1647+796</f>
        <v>3623</v>
      </c>
      <c r="F259" s="55">
        <f>26+34+25</f>
        <v>85</v>
      </c>
      <c r="G259" s="55">
        <f t="shared" si="58"/>
        <v>8349</v>
      </c>
      <c r="H259" s="63">
        <f>224512+296797+138972</f>
        <v>660281</v>
      </c>
      <c r="I259" s="63">
        <f>167948+234325+113176</f>
        <v>515449</v>
      </c>
      <c r="J259" s="63">
        <f>3644+4824+3502</f>
        <v>11970</v>
      </c>
      <c r="K259" s="63">
        <f t="shared" si="59"/>
        <v>1187700</v>
      </c>
      <c r="L259" s="63">
        <f>340+449+210</f>
        <v>999</v>
      </c>
      <c r="M259" s="63">
        <f>254+355+171</f>
        <v>780</v>
      </c>
      <c r="N259" s="63">
        <f>6+7+5</f>
        <v>18</v>
      </c>
      <c r="O259" s="63">
        <f t="shared" si="60"/>
        <v>1797</v>
      </c>
      <c r="R259" s="62">
        <f t="shared" si="61"/>
        <v>1197846</v>
      </c>
      <c r="S259" s="62"/>
      <c r="V259" s="62"/>
      <c r="W259" s="62"/>
      <c r="X259" s="62"/>
      <c r="Y259" s="62"/>
      <c r="Z259" s="62"/>
      <c r="AC259" s="99"/>
      <c r="AD259" s="99"/>
      <c r="AE259" s="99"/>
      <c r="AF259" s="98"/>
      <c r="AH259" s="98"/>
    </row>
    <row r="260" spans="1:34" ht="25.5" hidden="1" customHeight="1" x14ac:dyDescent="0.25">
      <c r="A260" s="56" t="s">
        <v>19</v>
      </c>
      <c r="B260" s="54" t="s">
        <v>5</v>
      </c>
      <c r="C260" s="55">
        <f>576190+737474</f>
        <v>1313664</v>
      </c>
      <c r="D260" s="55">
        <f>22049+34312</f>
        <v>56361</v>
      </c>
      <c r="E260" s="55">
        <f>54837+64726</f>
        <v>119563</v>
      </c>
      <c r="F260" s="55">
        <f>2830+2992</f>
        <v>5822</v>
      </c>
      <c r="G260" s="55">
        <f t="shared" si="58"/>
        <v>181746</v>
      </c>
      <c r="H260" s="63">
        <f>135988+211615</f>
        <v>347603</v>
      </c>
      <c r="I260" s="63">
        <f>338199+399189</f>
        <v>737388</v>
      </c>
      <c r="J260" s="63">
        <f>17453+18452</f>
        <v>35905</v>
      </c>
      <c r="K260" s="63">
        <f t="shared" si="59"/>
        <v>1120896</v>
      </c>
      <c r="L260" s="63">
        <f>1337+2081</f>
        <v>3418</v>
      </c>
      <c r="M260" s="63">
        <f>3325+3925</f>
        <v>7250</v>
      </c>
      <c r="N260" s="63">
        <f>172+182</f>
        <v>354</v>
      </c>
      <c r="O260" s="63">
        <f t="shared" si="60"/>
        <v>11022</v>
      </c>
      <c r="R260" s="62">
        <f t="shared" si="61"/>
        <v>1313664</v>
      </c>
      <c r="S260" s="62"/>
      <c r="V260" s="62"/>
      <c r="W260" s="62"/>
      <c r="X260" s="62"/>
      <c r="Y260" s="62"/>
      <c r="Z260" s="62"/>
      <c r="AC260" s="99"/>
      <c r="AD260" s="99"/>
      <c r="AE260" s="99"/>
      <c r="AF260" s="98"/>
      <c r="AH260" s="98"/>
    </row>
    <row r="261" spans="1:34" ht="25.5" hidden="1" customHeight="1" x14ac:dyDescent="0.25">
      <c r="A261" s="56" t="s">
        <v>18</v>
      </c>
      <c r="B261" s="54" t="s">
        <v>4</v>
      </c>
      <c r="C261" s="55">
        <f>317154+455492</f>
        <v>772646</v>
      </c>
      <c r="D261" s="55">
        <f>6150+8833</f>
        <v>14983</v>
      </c>
      <c r="E261" s="55">
        <f>10364+14884</f>
        <v>25248</v>
      </c>
      <c r="F261" s="55">
        <f>429+615</f>
        <v>1044</v>
      </c>
      <c r="G261" s="55">
        <f t="shared" si="58"/>
        <v>41275</v>
      </c>
      <c r="H261" s="63">
        <f>105377+151338</f>
        <v>256715</v>
      </c>
      <c r="I261" s="63">
        <f>177573+255035</f>
        <v>432608</v>
      </c>
      <c r="J261" s="63">
        <f>7344+10544</f>
        <v>17888</v>
      </c>
      <c r="K261" s="63">
        <f t="shared" si="59"/>
        <v>707211</v>
      </c>
      <c r="L261" s="63">
        <f>3600+5170</f>
        <v>8770</v>
      </c>
      <c r="M261" s="63">
        <f>6066+8713</f>
        <v>14779</v>
      </c>
      <c r="N261" s="63">
        <f>251+360</f>
        <v>611</v>
      </c>
      <c r="O261" s="63">
        <f t="shared" si="60"/>
        <v>24160</v>
      </c>
      <c r="R261" s="62">
        <f t="shared" si="61"/>
        <v>772646</v>
      </c>
      <c r="S261" s="62"/>
      <c r="V261" s="62"/>
      <c r="W261" s="62"/>
      <c r="X261" s="62"/>
      <c r="Y261" s="62"/>
      <c r="Z261" s="62"/>
      <c r="AC261" s="99"/>
      <c r="AD261" s="99"/>
      <c r="AE261" s="99"/>
      <c r="AF261" s="98"/>
      <c r="AH261" s="98"/>
    </row>
    <row r="262" spans="1:34" ht="25.5" hidden="1" customHeight="1" x14ac:dyDescent="0.25">
      <c r="A262" s="56" t="s">
        <v>25</v>
      </c>
      <c r="B262" s="54" t="s">
        <v>3</v>
      </c>
      <c r="C262" s="55">
        <f>677961+126227</f>
        <v>804188</v>
      </c>
      <c r="D262" s="55">
        <f>32495+6050</f>
        <v>38545</v>
      </c>
      <c r="E262" s="55">
        <f>15998+2978</f>
        <v>18976</v>
      </c>
      <c r="F262" s="55">
        <f>1500+280</f>
        <v>1780</v>
      </c>
      <c r="G262" s="55">
        <f t="shared" si="58"/>
        <v>59301</v>
      </c>
      <c r="H262" s="63">
        <f>363072+67598</f>
        <v>430670</v>
      </c>
      <c r="I262" s="63">
        <f>178743+33277</f>
        <v>212020</v>
      </c>
      <c r="J262" s="63">
        <f>16757+3124</f>
        <v>19881</v>
      </c>
      <c r="K262" s="63">
        <f t="shared" si="59"/>
        <v>662571</v>
      </c>
      <c r="L262" s="63">
        <f>45107+8398</f>
        <v>53505</v>
      </c>
      <c r="M262" s="63">
        <f>22207+4134</f>
        <v>26341</v>
      </c>
      <c r="N262" s="63">
        <f>2082+388</f>
        <v>2470</v>
      </c>
      <c r="O262" s="63">
        <f t="shared" si="60"/>
        <v>82316</v>
      </c>
      <c r="R262" s="62">
        <f t="shared" si="61"/>
        <v>804188</v>
      </c>
      <c r="S262" s="62"/>
      <c r="V262" s="62"/>
      <c r="W262" s="62"/>
      <c r="X262" s="62"/>
      <c r="Y262" s="62"/>
      <c r="Z262" s="62"/>
      <c r="AC262" s="99"/>
      <c r="AD262" s="99"/>
      <c r="AE262" s="99"/>
      <c r="AF262" s="98"/>
      <c r="AH262" s="98"/>
    </row>
    <row r="263" spans="1:34" ht="54" hidden="1" customHeight="1" x14ac:dyDescent="0.25">
      <c r="A263" s="56" t="s">
        <v>30</v>
      </c>
      <c r="B263" s="54" t="s">
        <v>2</v>
      </c>
      <c r="C263" s="55">
        <v>39742</v>
      </c>
      <c r="D263" s="55">
        <v>1125</v>
      </c>
      <c r="E263" s="55">
        <v>0</v>
      </c>
      <c r="F263" s="55">
        <v>0</v>
      </c>
      <c r="G263" s="55">
        <f t="shared" si="58"/>
        <v>1125</v>
      </c>
      <c r="H263" s="63">
        <v>33271</v>
      </c>
      <c r="I263" s="63">
        <v>0</v>
      </c>
      <c r="J263" s="63">
        <v>0</v>
      </c>
      <c r="K263" s="63">
        <f t="shared" si="59"/>
        <v>33271</v>
      </c>
      <c r="L263" s="63">
        <v>5346</v>
      </c>
      <c r="M263" s="63">
        <v>0</v>
      </c>
      <c r="N263" s="63">
        <v>0</v>
      </c>
      <c r="O263" s="63">
        <f t="shared" si="60"/>
        <v>5346</v>
      </c>
      <c r="R263" s="62">
        <f t="shared" si="61"/>
        <v>39742</v>
      </c>
      <c r="S263" s="62"/>
      <c r="V263" s="62"/>
      <c r="W263" s="62"/>
      <c r="X263" s="62"/>
      <c r="Y263" s="62"/>
      <c r="Z263" s="62"/>
      <c r="AF263" s="98"/>
      <c r="AH263" s="98"/>
    </row>
    <row r="264" spans="1:34" ht="39.75" hidden="1" customHeight="1" x14ac:dyDescent="0.25">
      <c r="A264" s="56" t="s">
        <v>31</v>
      </c>
      <c r="B264" s="54" t="s">
        <v>1</v>
      </c>
      <c r="C264" s="55">
        <v>26266</v>
      </c>
      <c r="D264" s="55">
        <v>1954</v>
      </c>
      <c r="E264" s="55">
        <v>0</v>
      </c>
      <c r="F264" s="55">
        <v>0</v>
      </c>
      <c r="G264" s="55">
        <f t="shared" si="58"/>
        <v>1954</v>
      </c>
      <c r="H264" s="63">
        <v>23253</v>
      </c>
      <c r="I264" s="63">
        <v>0</v>
      </c>
      <c r="J264" s="63">
        <v>0</v>
      </c>
      <c r="K264" s="63">
        <f t="shared" si="59"/>
        <v>23253</v>
      </c>
      <c r="L264" s="63">
        <v>1059</v>
      </c>
      <c r="M264" s="63">
        <v>0</v>
      </c>
      <c r="N264" s="63">
        <v>0</v>
      </c>
      <c r="O264" s="63">
        <f t="shared" si="60"/>
        <v>1059</v>
      </c>
      <c r="R264" s="62">
        <f t="shared" si="61"/>
        <v>26266</v>
      </c>
      <c r="S264" s="62"/>
      <c r="V264" s="62"/>
      <c r="W264" s="62"/>
      <c r="X264" s="62"/>
      <c r="Y264" s="62"/>
      <c r="Z264" s="62"/>
      <c r="AF264" s="98"/>
      <c r="AH264" s="98"/>
    </row>
    <row r="265" spans="1:34" ht="33" hidden="1" customHeight="1" x14ac:dyDescent="0.25">
      <c r="A265" s="56" t="s">
        <v>32</v>
      </c>
      <c r="B265" s="54" t="s">
        <v>73</v>
      </c>
      <c r="C265" s="55">
        <v>21336</v>
      </c>
      <c r="D265" s="55">
        <v>4196</v>
      </c>
      <c r="E265" s="55">
        <v>0</v>
      </c>
      <c r="F265" s="55">
        <v>0</v>
      </c>
      <c r="G265" s="55">
        <f t="shared" si="58"/>
        <v>4196</v>
      </c>
      <c r="H265" s="63">
        <v>13738</v>
      </c>
      <c r="I265" s="63">
        <v>0</v>
      </c>
      <c r="J265" s="63">
        <v>0</v>
      </c>
      <c r="K265" s="63">
        <f t="shared" si="59"/>
        <v>13738</v>
      </c>
      <c r="L265" s="63">
        <v>3402</v>
      </c>
      <c r="M265" s="63">
        <v>0</v>
      </c>
      <c r="N265" s="63">
        <v>0</v>
      </c>
      <c r="O265" s="63">
        <f t="shared" si="60"/>
        <v>3402</v>
      </c>
      <c r="R265" s="62">
        <f t="shared" si="61"/>
        <v>21336</v>
      </c>
      <c r="S265" s="62"/>
      <c r="V265" s="62"/>
      <c r="W265" s="62"/>
      <c r="X265" s="62"/>
      <c r="Y265" s="62"/>
      <c r="Z265" s="62"/>
      <c r="AF265" s="98"/>
      <c r="AH265" s="98"/>
    </row>
    <row r="266" spans="1:34" ht="33" hidden="1" customHeight="1" x14ac:dyDescent="0.25">
      <c r="A266" s="56" t="s">
        <v>90</v>
      </c>
      <c r="B266" s="70" t="s">
        <v>91</v>
      </c>
      <c r="C266" s="55">
        <f>E266+I266+M266</f>
        <v>61662</v>
      </c>
      <c r="D266" s="55">
        <v>0</v>
      </c>
      <c r="E266" s="55">
        <v>10436</v>
      </c>
      <c r="F266" s="55">
        <v>0</v>
      </c>
      <c r="G266" s="55">
        <f t="shared" si="58"/>
        <v>10436</v>
      </c>
      <c r="H266" s="63">
        <v>0</v>
      </c>
      <c r="I266" s="63">
        <v>34306</v>
      </c>
      <c r="J266" s="63">
        <v>0</v>
      </c>
      <c r="K266" s="63">
        <f t="shared" si="59"/>
        <v>34306</v>
      </c>
      <c r="L266" s="63">
        <v>0</v>
      </c>
      <c r="M266" s="63">
        <v>16920</v>
      </c>
      <c r="N266" s="63">
        <v>0</v>
      </c>
      <c r="O266" s="63">
        <f t="shared" si="60"/>
        <v>16920</v>
      </c>
      <c r="R266" s="62">
        <f t="shared" si="61"/>
        <v>61662</v>
      </c>
      <c r="S266" s="62"/>
      <c r="V266" s="62"/>
      <c r="W266" s="62"/>
      <c r="X266" s="62"/>
      <c r="Y266" s="62"/>
      <c r="Z266" s="62"/>
      <c r="AF266" s="98"/>
      <c r="AH266" s="98"/>
    </row>
    <row r="267" spans="1:34" ht="25.5" hidden="1" customHeight="1" x14ac:dyDescent="0.25">
      <c r="A267" s="57"/>
      <c r="B267" s="57" t="s">
        <v>0</v>
      </c>
      <c r="C267" s="58">
        <f>C249+C251+C253+C255+C256+C259+C260+C261+C262</f>
        <v>8527196</v>
      </c>
      <c r="D267" s="58">
        <f>D249+D251+D253+D255+D256+D259+D260+D261+D262</f>
        <v>243885</v>
      </c>
      <c r="E267" s="58">
        <f>E249+E251+E253+E255+E256+E259+E260+E261+E262</f>
        <v>620664</v>
      </c>
      <c r="F267" s="58">
        <f>F249+F251+F253+F255+F256+F259+F260+F261+F262</f>
        <v>13413</v>
      </c>
      <c r="G267" s="58">
        <f>G249+G251+G253+G255+G256+G259+G260+G261+G262</f>
        <v>877962</v>
      </c>
      <c r="H267" s="58">
        <f t="shared" ref="H267:O267" si="62">H249+H251+H253+H255+H256+H259+H260+H261+H262</f>
        <v>2389356</v>
      </c>
      <c r="I267" s="58">
        <f t="shared" si="62"/>
        <v>4364968</v>
      </c>
      <c r="J267" s="58">
        <f t="shared" si="62"/>
        <v>120115</v>
      </c>
      <c r="K267" s="58">
        <f t="shared" si="62"/>
        <v>6874439</v>
      </c>
      <c r="L267" s="58">
        <f t="shared" si="62"/>
        <v>214834</v>
      </c>
      <c r="M267" s="58">
        <f t="shared" si="62"/>
        <v>548127</v>
      </c>
      <c r="N267" s="58">
        <f t="shared" si="62"/>
        <v>11834</v>
      </c>
      <c r="O267" s="58">
        <f t="shared" si="62"/>
        <v>774795</v>
      </c>
      <c r="R267" s="62">
        <f t="shared" si="61"/>
        <v>8527196</v>
      </c>
      <c r="S267" s="62"/>
      <c r="V267" s="62"/>
      <c r="W267" s="62"/>
      <c r="X267" s="62"/>
      <c r="Y267" s="62"/>
      <c r="Z267" s="62"/>
    </row>
    <row r="269" spans="1:34" s="4" customFormat="1" ht="28.5" hidden="1" customHeight="1" x14ac:dyDescent="0.25">
      <c r="A269" s="152" t="s">
        <v>17</v>
      </c>
      <c r="B269" s="152" t="s">
        <v>33</v>
      </c>
      <c r="C269" s="159" t="s">
        <v>85</v>
      </c>
      <c r="D269" s="152" t="s">
        <v>69</v>
      </c>
      <c r="E269" s="152"/>
      <c r="F269" s="152"/>
      <c r="G269" s="152"/>
      <c r="H269" s="152"/>
      <c r="I269" s="152"/>
      <c r="J269" s="152"/>
      <c r="K269" s="152"/>
      <c r="L269" s="152"/>
      <c r="M269" s="152"/>
      <c r="N269" s="152"/>
      <c r="O269" s="152"/>
      <c r="R269" s="61"/>
      <c r="S269" s="61"/>
      <c r="V269" s="61"/>
      <c r="W269" s="61"/>
      <c r="X269" s="61"/>
      <c r="Y269" s="61"/>
      <c r="Z269" s="61"/>
      <c r="AC269" s="95"/>
      <c r="AD269" s="95"/>
      <c r="AE269" s="95"/>
      <c r="AF269" s="95"/>
      <c r="AG269" s="93"/>
      <c r="AH269" s="95"/>
    </row>
    <row r="270" spans="1:34" s="4" customFormat="1" ht="41.25" hidden="1" customHeight="1" x14ac:dyDescent="0.25">
      <c r="A270" s="152"/>
      <c r="B270" s="152"/>
      <c r="C270" s="159"/>
      <c r="D270" s="154" t="s">
        <v>36</v>
      </c>
      <c r="E270" s="154"/>
      <c r="F270" s="154"/>
      <c r="G270" s="154"/>
      <c r="H270" s="155" t="s">
        <v>37</v>
      </c>
      <c r="I270" s="156"/>
      <c r="J270" s="156"/>
      <c r="K270" s="157"/>
      <c r="L270" s="155" t="s">
        <v>38</v>
      </c>
      <c r="M270" s="156"/>
      <c r="N270" s="156"/>
      <c r="O270" s="157"/>
      <c r="R270" s="61"/>
      <c r="S270" s="61"/>
      <c r="V270" s="61"/>
      <c r="W270" s="61"/>
      <c r="X270" s="61"/>
      <c r="Y270" s="61"/>
      <c r="Z270" s="61"/>
      <c r="AC270" s="95"/>
      <c r="AD270" s="95"/>
      <c r="AE270" s="95"/>
      <c r="AF270" s="95"/>
      <c r="AG270" s="93"/>
      <c r="AH270" s="95"/>
    </row>
    <row r="271" spans="1:34" s="4" customFormat="1" ht="59.25" hidden="1" customHeight="1" x14ac:dyDescent="0.25">
      <c r="A271" s="152"/>
      <c r="B271" s="152"/>
      <c r="C271" s="159"/>
      <c r="D271" s="109" t="s">
        <v>66</v>
      </c>
      <c r="E271" s="109" t="s">
        <v>67</v>
      </c>
      <c r="F271" s="109" t="s">
        <v>68</v>
      </c>
      <c r="G271" s="109" t="s">
        <v>70</v>
      </c>
      <c r="H271" s="65" t="s">
        <v>66</v>
      </c>
      <c r="I271" s="65" t="s">
        <v>67</v>
      </c>
      <c r="J271" s="65" t="s">
        <v>68</v>
      </c>
      <c r="K271" s="65" t="s">
        <v>71</v>
      </c>
      <c r="L271" s="65" t="s">
        <v>66</v>
      </c>
      <c r="M271" s="65" t="s">
        <v>67</v>
      </c>
      <c r="N271" s="65" t="s">
        <v>68</v>
      </c>
      <c r="O271" s="65" t="s">
        <v>72</v>
      </c>
      <c r="R271" s="61"/>
      <c r="S271" s="61"/>
      <c r="V271" s="61"/>
      <c r="W271" s="61"/>
      <c r="X271" s="61"/>
      <c r="Y271" s="61"/>
      <c r="Z271" s="61"/>
      <c r="AC271" s="95"/>
      <c r="AD271" s="95"/>
      <c r="AE271" s="95"/>
      <c r="AF271" s="95"/>
      <c r="AG271" s="93"/>
      <c r="AH271" s="95"/>
    </row>
    <row r="272" spans="1:34" s="3" customFormat="1" ht="14.25" hidden="1" customHeight="1" x14ac:dyDescent="0.25">
      <c r="A272" s="53">
        <v>1</v>
      </c>
      <c r="B272" s="53">
        <v>2</v>
      </c>
      <c r="C272" s="53">
        <v>3</v>
      </c>
      <c r="D272" s="53">
        <v>4</v>
      </c>
      <c r="E272" s="53">
        <v>5</v>
      </c>
      <c r="F272" s="53">
        <v>6</v>
      </c>
      <c r="G272" s="53">
        <v>7</v>
      </c>
      <c r="H272" s="66">
        <v>8</v>
      </c>
      <c r="I272" s="66">
        <v>9</v>
      </c>
      <c r="J272" s="66">
        <v>10</v>
      </c>
      <c r="K272" s="66">
        <v>11</v>
      </c>
      <c r="L272" s="66">
        <v>12</v>
      </c>
      <c r="M272" s="66">
        <v>13</v>
      </c>
      <c r="N272" s="66">
        <v>14</v>
      </c>
      <c r="O272" s="66">
        <v>15</v>
      </c>
      <c r="R272" s="61"/>
      <c r="S272" s="61"/>
      <c r="V272" s="61"/>
      <c r="W272" s="61"/>
      <c r="X272" s="61"/>
      <c r="Y272" s="61"/>
      <c r="Z272" s="61"/>
      <c r="AC272" s="95"/>
      <c r="AD272" s="95"/>
      <c r="AE272" s="95"/>
      <c r="AF272" s="95"/>
      <c r="AG272" s="94"/>
      <c r="AH272" s="95"/>
    </row>
    <row r="273" spans="1:34" s="3" customFormat="1" ht="25.5" hidden="1" customHeight="1" x14ac:dyDescent="0.25">
      <c r="A273" s="53" t="s">
        <v>16</v>
      </c>
      <c r="B273" s="54" t="s">
        <v>15</v>
      </c>
      <c r="C273" s="55">
        <f t="shared" ref="C273:N288" si="63">C200+C224+C249</f>
        <v>9887577</v>
      </c>
      <c r="D273" s="55">
        <f t="shared" si="63"/>
        <v>238233</v>
      </c>
      <c r="E273" s="55">
        <f t="shared" si="63"/>
        <v>1304524</v>
      </c>
      <c r="F273" s="55">
        <f t="shared" si="63"/>
        <v>0</v>
      </c>
      <c r="G273" s="55">
        <f>D273+E273+F273</f>
        <v>1542757</v>
      </c>
      <c r="H273" s="63">
        <f t="shared" si="63"/>
        <v>1004541</v>
      </c>
      <c r="I273" s="63">
        <f t="shared" si="63"/>
        <v>5500695</v>
      </c>
      <c r="J273" s="63">
        <f t="shared" si="63"/>
        <v>0</v>
      </c>
      <c r="K273" s="63">
        <f>H273+I273+J273</f>
        <v>6505236</v>
      </c>
      <c r="L273" s="63">
        <f t="shared" si="63"/>
        <v>284070</v>
      </c>
      <c r="M273" s="63">
        <f t="shared" si="63"/>
        <v>1555514</v>
      </c>
      <c r="N273" s="63">
        <f t="shared" si="63"/>
        <v>0</v>
      </c>
      <c r="O273" s="63">
        <f>L273+M273+N273</f>
        <v>1839584</v>
      </c>
      <c r="R273" s="62">
        <f>G273+K273+O273</f>
        <v>9887577</v>
      </c>
      <c r="S273" s="62"/>
      <c r="V273" s="62"/>
      <c r="W273" s="62"/>
      <c r="X273" s="62"/>
      <c r="Y273" s="62"/>
      <c r="Z273" s="62"/>
      <c r="AC273" s="95"/>
      <c r="AD273" s="95"/>
      <c r="AE273" s="95"/>
      <c r="AF273" s="95"/>
      <c r="AG273" s="94"/>
      <c r="AH273" s="95"/>
    </row>
    <row r="274" spans="1:34" ht="40.5" hidden="1" customHeight="1" x14ac:dyDescent="0.25">
      <c r="A274" s="56" t="s">
        <v>24</v>
      </c>
      <c r="B274" s="54" t="s">
        <v>14</v>
      </c>
      <c r="C274" s="55">
        <f t="shared" si="63"/>
        <v>815501</v>
      </c>
      <c r="D274" s="55">
        <f t="shared" si="63"/>
        <v>85886</v>
      </c>
      <c r="E274" s="55">
        <f t="shared" si="63"/>
        <v>80534</v>
      </c>
      <c r="F274" s="55">
        <f t="shared" si="63"/>
        <v>2569</v>
      </c>
      <c r="G274" s="55">
        <f t="shared" ref="G274:G290" si="64">D274+E274+F274</f>
        <v>168989</v>
      </c>
      <c r="H274" s="63">
        <f t="shared" si="63"/>
        <v>252401</v>
      </c>
      <c r="I274" s="63">
        <f t="shared" si="63"/>
        <v>236674</v>
      </c>
      <c r="J274" s="63">
        <f t="shared" si="63"/>
        <v>7548</v>
      </c>
      <c r="K274" s="63">
        <f t="shared" ref="K274:K290" si="65">H274+I274+J274</f>
        <v>496623</v>
      </c>
      <c r="L274" s="63">
        <f t="shared" si="63"/>
        <v>76179</v>
      </c>
      <c r="M274" s="63">
        <f t="shared" si="63"/>
        <v>71432</v>
      </c>
      <c r="N274" s="63">
        <f t="shared" si="63"/>
        <v>2278</v>
      </c>
      <c r="O274" s="63">
        <f t="shared" ref="O274:O290" si="66">L274+M274+N274</f>
        <v>149889</v>
      </c>
      <c r="R274" s="62">
        <f t="shared" ref="R274:R291" si="67">G274+K274+O274</f>
        <v>815501</v>
      </c>
      <c r="S274" s="62"/>
      <c r="V274" s="62"/>
      <c r="W274" s="62"/>
      <c r="X274" s="62"/>
      <c r="Y274" s="62"/>
      <c r="Z274" s="62"/>
    </row>
    <row r="275" spans="1:34" ht="34.5" hidden="1" customHeight="1" x14ac:dyDescent="0.25">
      <c r="A275" s="56" t="s">
        <v>24</v>
      </c>
      <c r="B275" s="54" t="s">
        <v>13</v>
      </c>
      <c r="C275" s="55">
        <f t="shared" si="63"/>
        <v>2227707</v>
      </c>
      <c r="D275" s="55">
        <f t="shared" si="63"/>
        <v>0</v>
      </c>
      <c r="E275" s="55">
        <f t="shared" si="63"/>
        <v>126266</v>
      </c>
      <c r="F275" s="55">
        <f t="shared" si="63"/>
        <v>0</v>
      </c>
      <c r="G275" s="55">
        <f t="shared" si="64"/>
        <v>126266</v>
      </c>
      <c r="H275" s="63">
        <f t="shared" si="63"/>
        <v>0</v>
      </c>
      <c r="I275" s="63">
        <f t="shared" si="63"/>
        <v>1871609</v>
      </c>
      <c r="J275" s="63">
        <f t="shared" si="63"/>
        <v>0</v>
      </c>
      <c r="K275" s="63">
        <f t="shared" si="65"/>
        <v>1871609</v>
      </c>
      <c r="L275" s="63">
        <f t="shared" si="63"/>
        <v>0</v>
      </c>
      <c r="M275" s="63">
        <f t="shared" si="63"/>
        <v>229832</v>
      </c>
      <c r="N275" s="63">
        <f t="shared" si="63"/>
        <v>0</v>
      </c>
      <c r="O275" s="63">
        <f t="shared" si="66"/>
        <v>229832</v>
      </c>
      <c r="R275" s="62">
        <f t="shared" si="67"/>
        <v>2227707</v>
      </c>
      <c r="S275" s="62"/>
      <c r="V275" s="62"/>
      <c r="W275" s="62"/>
      <c r="X275" s="62"/>
      <c r="Y275" s="62"/>
      <c r="Z275" s="62"/>
    </row>
    <row r="276" spans="1:34" ht="40.5" hidden="1" customHeight="1" x14ac:dyDescent="0.25">
      <c r="A276" s="56" t="s">
        <v>22</v>
      </c>
      <c r="B276" s="54" t="s">
        <v>12</v>
      </c>
      <c r="C276" s="55">
        <f t="shared" si="63"/>
        <v>508752</v>
      </c>
      <c r="D276" s="55">
        <f t="shared" si="63"/>
        <v>58522</v>
      </c>
      <c r="E276" s="55">
        <f t="shared" si="63"/>
        <v>0</v>
      </c>
      <c r="F276" s="55">
        <f t="shared" si="63"/>
        <v>0</v>
      </c>
      <c r="G276" s="55">
        <f t="shared" si="64"/>
        <v>58522</v>
      </c>
      <c r="H276" s="63">
        <f t="shared" si="63"/>
        <v>380607</v>
      </c>
      <c r="I276" s="63">
        <f t="shared" si="63"/>
        <v>0</v>
      </c>
      <c r="J276" s="63">
        <f t="shared" si="63"/>
        <v>0</v>
      </c>
      <c r="K276" s="63">
        <f t="shared" si="65"/>
        <v>380607</v>
      </c>
      <c r="L276" s="63">
        <f t="shared" si="63"/>
        <v>69623</v>
      </c>
      <c r="M276" s="63">
        <f t="shared" si="63"/>
        <v>0</v>
      </c>
      <c r="N276" s="63">
        <f t="shared" si="63"/>
        <v>0</v>
      </c>
      <c r="O276" s="63">
        <f t="shared" si="66"/>
        <v>69623</v>
      </c>
      <c r="R276" s="62">
        <f t="shared" si="67"/>
        <v>508752</v>
      </c>
      <c r="S276" s="62"/>
      <c r="V276" s="62"/>
      <c r="W276" s="62"/>
      <c r="X276" s="62"/>
      <c r="Y276" s="62"/>
      <c r="Z276" s="62"/>
    </row>
    <row r="277" spans="1:34" ht="39.75" hidden="1" customHeight="1" x14ac:dyDescent="0.25">
      <c r="A277" s="56" t="s">
        <v>23</v>
      </c>
      <c r="B277" s="54" t="s">
        <v>11</v>
      </c>
      <c r="C277" s="55">
        <f t="shared" si="63"/>
        <v>420829</v>
      </c>
      <c r="D277" s="55">
        <f t="shared" si="63"/>
        <v>16566</v>
      </c>
      <c r="E277" s="55">
        <f t="shared" si="63"/>
        <v>26009</v>
      </c>
      <c r="F277" s="55">
        <f t="shared" si="63"/>
        <v>11225</v>
      </c>
      <c r="G277" s="55">
        <f t="shared" si="64"/>
        <v>53800</v>
      </c>
      <c r="H277" s="63">
        <f t="shared" si="63"/>
        <v>87884</v>
      </c>
      <c r="I277" s="63">
        <f t="shared" si="63"/>
        <v>137977</v>
      </c>
      <c r="J277" s="63">
        <f t="shared" si="63"/>
        <v>59550</v>
      </c>
      <c r="K277" s="63">
        <f t="shared" si="65"/>
        <v>285411</v>
      </c>
      <c r="L277" s="63">
        <f t="shared" si="63"/>
        <v>25132</v>
      </c>
      <c r="M277" s="63">
        <f t="shared" si="63"/>
        <v>39456</v>
      </c>
      <c r="N277" s="63">
        <f t="shared" si="63"/>
        <v>17030</v>
      </c>
      <c r="O277" s="63">
        <f t="shared" si="66"/>
        <v>81618</v>
      </c>
      <c r="R277" s="62">
        <f t="shared" si="67"/>
        <v>420829</v>
      </c>
      <c r="S277" s="62"/>
      <c r="V277" s="62"/>
      <c r="W277" s="62"/>
      <c r="X277" s="62"/>
      <c r="Y277" s="62"/>
      <c r="Z277" s="62"/>
    </row>
    <row r="278" spans="1:34" ht="28.5" hidden="1" customHeight="1" x14ac:dyDescent="0.25">
      <c r="A278" s="56" t="s">
        <v>20</v>
      </c>
      <c r="B278" s="54" t="s">
        <v>34</v>
      </c>
      <c r="C278" s="55">
        <f t="shared" si="63"/>
        <v>601954</v>
      </c>
      <c r="D278" s="55">
        <f t="shared" si="63"/>
        <v>112674</v>
      </c>
      <c r="E278" s="55">
        <f t="shared" si="63"/>
        <v>0</v>
      </c>
      <c r="F278" s="55">
        <f t="shared" si="63"/>
        <v>0</v>
      </c>
      <c r="G278" s="55">
        <f t="shared" si="64"/>
        <v>112674</v>
      </c>
      <c r="H278" s="63">
        <f t="shared" si="63"/>
        <v>367776</v>
      </c>
      <c r="I278" s="63">
        <f t="shared" si="63"/>
        <v>0</v>
      </c>
      <c r="J278" s="63">
        <f t="shared" si="63"/>
        <v>0</v>
      </c>
      <c r="K278" s="63">
        <f t="shared" si="65"/>
        <v>367776</v>
      </c>
      <c r="L278" s="63">
        <f t="shared" si="63"/>
        <v>121504</v>
      </c>
      <c r="M278" s="63">
        <f t="shared" si="63"/>
        <v>0</v>
      </c>
      <c r="N278" s="63">
        <f t="shared" si="63"/>
        <v>0</v>
      </c>
      <c r="O278" s="63">
        <f t="shared" si="66"/>
        <v>121504</v>
      </c>
      <c r="R278" s="62">
        <f t="shared" si="67"/>
        <v>601954</v>
      </c>
      <c r="S278" s="62"/>
      <c r="V278" s="62"/>
      <c r="W278" s="62"/>
      <c r="X278" s="62"/>
      <c r="Y278" s="62"/>
      <c r="Z278" s="62"/>
    </row>
    <row r="279" spans="1:34" ht="34.5" hidden="1" customHeight="1" x14ac:dyDescent="0.25">
      <c r="A279" s="56" t="s">
        <v>22</v>
      </c>
      <c r="B279" s="54" t="s">
        <v>10</v>
      </c>
      <c r="C279" s="55">
        <f t="shared" si="63"/>
        <v>2333198</v>
      </c>
      <c r="D279" s="55">
        <f t="shared" si="63"/>
        <v>50680</v>
      </c>
      <c r="E279" s="55">
        <f t="shared" si="63"/>
        <v>66287</v>
      </c>
      <c r="F279" s="55">
        <f t="shared" si="63"/>
        <v>3122</v>
      </c>
      <c r="G279" s="55">
        <f t="shared" si="64"/>
        <v>120089</v>
      </c>
      <c r="H279" s="63">
        <f t="shared" si="63"/>
        <v>788237</v>
      </c>
      <c r="I279" s="63">
        <f t="shared" si="63"/>
        <v>1030973</v>
      </c>
      <c r="J279" s="63">
        <f t="shared" si="63"/>
        <v>48562</v>
      </c>
      <c r="K279" s="63">
        <f t="shared" si="65"/>
        <v>1867772</v>
      </c>
      <c r="L279" s="63">
        <f t="shared" si="63"/>
        <v>145740</v>
      </c>
      <c r="M279" s="63">
        <f t="shared" si="63"/>
        <v>190619</v>
      </c>
      <c r="N279" s="63">
        <f t="shared" si="63"/>
        <v>8978</v>
      </c>
      <c r="O279" s="63">
        <f t="shared" si="66"/>
        <v>345337</v>
      </c>
      <c r="R279" s="62">
        <f t="shared" si="67"/>
        <v>2333198</v>
      </c>
      <c r="S279" s="62"/>
      <c r="V279" s="62"/>
      <c r="W279" s="62"/>
      <c r="X279" s="62"/>
      <c r="Y279" s="62"/>
      <c r="Z279" s="62"/>
    </row>
    <row r="280" spans="1:34" ht="25.5" hidden="1" customHeight="1" x14ac:dyDescent="0.25">
      <c r="A280" s="56" t="s">
        <v>21</v>
      </c>
      <c r="B280" s="54" t="s">
        <v>9</v>
      </c>
      <c r="C280" s="55">
        <f t="shared" si="63"/>
        <v>1691753</v>
      </c>
      <c r="D280" s="55">
        <f t="shared" si="63"/>
        <v>101477</v>
      </c>
      <c r="E280" s="55">
        <f t="shared" si="63"/>
        <v>306000</v>
      </c>
      <c r="F280" s="55">
        <f t="shared" si="63"/>
        <v>0</v>
      </c>
      <c r="G280" s="55">
        <f t="shared" si="64"/>
        <v>407477</v>
      </c>
      <c r="H280" s="63">
        <f t="shared" si="63"/>
        <v>317077</v>
      </c>
      <c r="I280" s="63">
        <f t="shared" si="63"/>
        <v>956135</v>
      </c>
      <c r="J280" s="63">
        <f t="shared" si="63"/>
        <v>0</v>
      </c>
      <c r="K280" s="63">
        <f t="shared" si="65"/>
        <v>1273212</v>
      </c>
      <c r="L280" s="63">
        <f t="shared" si="63"/>
        <v>2755</v>
      </c>
      <c r="M280" s="63">
        <f t="shared" si="63"/>
        <v>8309</v>
      </c>
      <c r="N280" s="63">
        <f t="shared" si="63"/>
        <v>0</v>
      </c>
      <c r="O280" s="63">
        <f t="shared" si="66"/>
        <v>11064</v>
      </c>
      <c r="R280" s="62">
        <f t="shared" si="67"/>
        <v>1691753</v>
      </c>
      <c r="S280" s="62"/>
      <c r="V280" s="62"/>
      <c r="W280" s="62"/>
      <c r="X280" s="62"/>
      <c r="Y280" s="62"/>
      <c r="Z280" s="62"/>
    </row>
    <row r="281" spans="1:34" ht="25.5" hidden="1" customHeight="1" x14ac:dyDescent="0.25">
      <c r="A281" s="56" t="s">
        <v>25</v>
      </c>
      <c r="B281" s="54" t="s">
        <v>8</v>
      </c>
      <c r="C281" s="55">
        <f t="shared" si="63"/>
        <v>2332261</v>
      </c>
      <c r="D281" s="55">
        <f t="shared" si="63"/>
        <v>15874</v>
      </c>
      <c r="E281" s="55">
        <f t="shared" si="63"/>
        <v>76250</v>
      </c>
      <c r="F281" s="55">
        <f t="shared" si="63"/>
        <v>0</v>
      </c>
      <c r="G281" s="55">
        <f t="shared" si="64"/>
        <v>92124</v>
      </c>
      <c r="H281" s="63">
        <f t="shared" si="63"/>
        <v>257621</v>
      </c>
      <c r="I281" s="63">
        <f t="shared" si="63"/>
        <v>1237545</v>
      </c>
      <c r="J281" s="63">
        <f t="shared" si="63"/>
        <v>0</v>
      </c>
      <c r="K281" s="63">
        <f t="shared" si="65"/>
        <v>1495166</v>
      </c>
      <c r="L281" s="63">
        <f t="shared" si="63"/>
        <v>128361</v>
      </c>
      <c r="M281" s="63">
        <f t="shared" si="63"/>
        <v>616610</v>
      </c>
      <c r="N281" s="63">
        <f t="shared" si="63"/>
        <v>0</v>
      </c>
      <c r="O281" s="63">
        <f t="shared" si="66"/>
        <v>744971</v>
      </c>
      <c r="R281" s="62">
        <f t="shared" si="67"/>
        <v>2332261</v>
      </c>
      <c r="S281" s="62"/>
      <c r="V281" s="62"/>
      <c r="W281" s="62"/>
      <c r="X281" s="62"/>
      <c r="Y281" s="62"/>
      <c r="Z281" s="62"/>
    </row>
    <row r="282" spans="1:34" ht="25.5" hidden="1" customHeight="1" x14ac:dyDescent="0.25">
      <c r="A282" s="56" t="s">
        <v>26</v>
      </c>
      <c r="B282" s="54" t="s">
        <v>7</v>
      </c>
      <c r="C282" s="55">
        <f t="shared" si="63"/>
        <v>1515871</v>
      </c>
      <c r="D282" s="55">
        <f t="shared" si="63"/>
        <v>3905</v>
      </c>
      <c r="E282" s="55">
        <f t="shared" si="63"/>
        <v>23790</v>
      </c>
      <c r="F282" s="55">
        <f t="shared" si="63"/>
        <v>0</v>
      </c>
      <c r="G282" s="55">
        <f t="shared" si="64"/>
        <v>27695</v>
      </c>
      <c r="H282" s="63">
        <f t="shared" si="63"/>
        <v>190754</v>
      </c>
      <c r="I282" s="63">
        <f t="shared" si="63"/>
        <v>1162282</v>
      </c>
      <c r="J282" s="63">
        <f t="shared" si="63"/>
        <v>0</v>
      </c>
      <c r="K282" s="63">
        <f t="shared" si="65"/>
        <v>1353036</v>
      </c>
      <c r="L282" s="63">
        <f t="shared" si="63"/>
        <v>19052</v>
      </c>
      <c r="M282" s="63">
        <f t="shared" si="63"/>
        <v>116088</v>
      </c>
      <c r="N282" s="63">
        <f t="shared" si="63"/>
        <v>0</v>
      </c>
      <c r="O282" s="63">
        <f t="shared" si="66"/>
        <v>135140</v>
      </c>
      <c r="R282" s="62">
        <f t="shared" si="67"/>
        <v>1515871</v>
      </c>
      <c r="S282" s="62"/>
      <c r="V282" s="62"/>
      <c r="W282" s="62"/>
      <c r="X282" s="62"/>
      <c r="Y282" s="62"/>
      <c r="Z282" s="62"/>
    </row>
    <row r="283" spans="1:34" ht="25.5" hidden="1" customHeight="1" x14ac:dyDescent="0.25">
      <c r="A283" s="56" t="s">
        <v>20</v>
      </c>
      <c r="B283" s="54" t="s">
        <v>6</v>
      </c>
      <c r="C283" s="55">
        <f t="shared" si="63"/>
        <v>3069610</v>
      </c>
      <c r="D283" s="55">
        <f t="shared" si="63"/>
        <v>11465</v>
      </c>
      <c r="E283" s="55">
        <f t="shared" si="63"/>
        <v>9702</v>
      </c>
      <c r="F283" s="55">
        <f t="shared" si="63"/>
        <v>230</v>
      </c>
      <c r="G283" s="55">
        <f t="shared" si="64"/>
        <v>21397</v>
      </c>
      <c r="H283" s="63">
        <f t="shared" si="63"/>
        <v>1631059</v>
      </c>
      <c r="I283" s="63">
        <f t="shared" si="63"/>
        <v>1380122</v>
      </c>
      <c r="J283" s="63">
        <f t="shared" si="63"/>
        <v>32428</v>
      </c>
      <c r="K283" s="63">
        <f t="shared" si="65"/>
        <v>3043609</v>
      </c>
      <c r="L283" s="63">
        <f t="shared" si="63"/>
        <v>2467</v>
      </c>
      <c r="M283" s="63">
        <f t="shared" si="63"/>
        <v>2089</v>
      </c>
      <c r="N283" s="63">
        <f t="shared" si="63"/>
        <v>48</v>
      </c>
      <c r="O283" s="63">
        <f t="shared" si="66"/>
        <v>4604</v>
      </c>
      <c r="R283" s="62">
        <f t="shared" si="67"/>
        <v>3069610</v>
      </c>
      <c r="S283" s="62"/>
      <c r="V283" s="62"/>
      <c r="W283" s="62"/>
      <c r="X283" s="62"/>
      <c r="Y283" s="62"/>
      <c r="Z283" s="62"/>
    </row>
    <row r="284" spans="1:34" ht="25.5" hidden="1" customHeight="1" x14ac:dyDescent="0.25">
      <c r="A284" s="56" t="s">
        <v>19</v>
      </c>
      <c r="B284" s="54" t="s">
        <v>5</v>
      </c>
      <c r="C284" s="55">
        <f t="shared" si="63"/>
        <v>2988261</v>
      </c>
      <c r="D284" s="55">
        <f t="shared" si="63"/>
        <v>117343</v>
      </c>
      <c r="E284" s="55">
        <f t="shared" si="63"/>
        <v>281775</v>
      </c>
      <c r="F284" s="55">
        <f t="shared" si="63"/>
        <v>14308</v>
      </c>
      <c r="G284" s="55">
        <f t="shared" si="64"/>
        <v>413426</v>
      </c>
      <c r="H284" s="63">
        <f t="shared" si="63"/>
        <v>723695</v>
      </c>
      <c r="I284" s="63">
        <f t="shared" si="63"/>
        <v>1737817</v>
      </c>
      <c r="J284" s="63">
        <f t="shared" si="63"/>
        <v>88249</v>
      </c>
      <c r="K284" s="63">
        <f t="shared" si="65"/>
        <v>2549761</v>
      </c>
      <c r="L284" s="63">
        <f t="shared" si="63"/>
        <v>7116</v>
      </c>
      <c r="M284" s="63">
        <f t="shared" si="63"/>
        <v>17087</v>
      </c>
      <c r="N284" s="63">
        <f t="shared" si="63"/>
        <v>871</v>
      </c>
      <c r="O284" s="63">
        <f t="shared" si="66"/>
        <v>25074</v>
      </c>
      <c r="R284" s="62">
        <f t="shared" si="67"/>
        <v>2988261</v>
      </c>
      <c r="S284" s="62"/>
      <c r="V284" s="62"/>
      <c r="W284" s="62"/>
      <c r="X284" s="62"/>
      <c r="Y284" s="62"/>
      <c r="Z284" s="62"/>
    </row>
    <row r="285" spans="1:34" ht="25.5" hidden="1" customHeight="1" x14ac:dyDescent="0.25">
      <c r="A285" s="56" t="s">
        <v>18</v>
      </c>
      <c r="B285" s="54" t="s">
        <v>4</v>
      </c>
      <c r="C285" s="55">
        <f t="shared" si="63"/>
        <v>2265846</v>
      </c>
      <c r="D285" s="55">
        <f t="shared" si="63"/>
        <v>43938</v>
      </c>
      <c r="E285" s="55">
        <f t="shared" si="63"/>
        <v>74043</v>
      </c>
      <c r="F285" s="55">
        <f t="shared" si="63"/>
        <v>3062</v>
      </c>
      <c r="G285" s="55">
        <f t="shared" si="64"/>
        <v>121043</v>
      </c>
      <c r="H285" s="63">
        <f t="shared" si="63"/>
        <v>752837</v>
      </c>
      <c r="I285" s="63">
        <f t="shared" si="63"/>
        <v>1268656</v>
      </c>
      <c r="J285" s="63">
        <f t="shared" si="63"/>
        <v>52460</v>
      </c>
      <c r="K285" s="63">
        <f t="shared" si="65"/>
        <v>2073953</v>
      </c>
      <c r="L285" s="63">
        <f t="shared" si="63"/>
        <v>25718</v>
      </c>
      <c r="M285" s="63">
        <f t="shared" si="63"/>
        <v>43341</v>
      </c>
      <c r="N285" s="63">
        <f t="shared" si="63"/>
        <v>1791</v>
      </c>
      <c r="O285" s="63">
        <f t="shared" si="66"/>
        <v>70850</v>
      </c>
      <c r="R285" s="62">
        <f t="shared" si="67"/>
        <v>2265846</v>
      </c>
      <c r="S285" s="62"/>
      <c r="V285" s="62"/>
      <c r="W285" s="62"/>
      <c r="X285" s="62"/>
      <c r="Y285" s="62"/>
      <c r="Z285" s="62"/>
    </row>
    <row r="286" spans="1:34" ht="25.5" hidden="1" customHeight="1" x14ac:dyDescent="0.25">
      <c r="A286" s="56" t="s">
        <v>25</v>
      </c>
      <c r="B286" s="54" t="s">
        <v>3</v>
      </c>
      <c r="C286" s="55">
        <f t="shared" si="63"/>
        <v>2412560</v>
      </c>
      <c r="D286" s="55">
        <f t="shared" si="63"/>
        <v>115635</v>
      </c>
      <c r="E286" s="55">
        <f t="shared" si="63"/>
        <v>56928</v>
      </c>
      <c r="F286" s="55">
        <f t="shared" si="63"/>
        <v>5340</v>
      </c>
      <c r="G286" s="55">
        <f t="shared" si="64"/>
        <v>177903</v>
      </c>
      <c r="H286" s="63">
        <f t="shared" si="63"/>
        <v>1292008</v>
      </c>
      <c r="I286" s="63">
        <f t="shared" si="63"/>
        <v>636058</v>
      </c>
      <c r="J286" s="63">
        <f t="shared" si="63"/>
        <v>59643</v>
      </c>
      <c r="K286" s="63">
        <f t="shared" si="65"/>
        <v>1987709</v>
      </c>
      <c r="L286" s="63">
        <f t="shared" si="63"/>
        <v>160515</v>
      </c>
      <c r="M286" s="63">
        <f t="shared" si="63"/>
        <v>79023</v>
      </c>
      <c r="N286" s="63">
        <f t="shared" si="63"/>
        <v>7410</v>
      </c>
      <c r="O286" s="63">
        <f t="shared" si="66"/>
        <v>246948</v>
      </c>
      <c r="R286" s="62">
        <f t="shared" si="67"/>
        <v>2412560</v>
      </c>
      <c r="S286" s="62"/>
      <c r="V286" s="62"/>
      <c r="W286" s="62"/>
      <c r="X286" s="62"/>
      <c r="Y286" s="62"/>
      <c r="Z286" s="62"/>
    </row>
    <row r="287" spans="1:34" ht="54" hidden="1" customHeight="1" x14ac:dyDescent="0.25">
      <c r="A287" s="56" t="s">
        <v>30</v>
      </c>
      <c r="B287" s="54" t="s">
        <v>2</v>
      </c>
      <c r="C287" s="55">
        <f t="shared" si="63"/>
        <v>119226</v>
      </c>
      <c r="D287" s="55">
        <f t="shared" si="63"/>
        <v>3375</v>
      </c>
      <c r="E287" s="55">
        <f t="shared" si="63"/>
        <v>0</v>
      </c>
      <c r="F287" s="55">
        <f t="shared" si="63"/>
        <v>0</v>
      </c>
      <c r="G287" s="55">
        <f t="shared" si="64"/>
        <v>3375</v>
      </c>
      <c r="H287" s="63">
        <f t="shared" si="63"/>
        <v>99813</v>
      </c>
      <c r="I287" s="63">
        <f t="shared" si="63"/>
        <v>0</v>
      </c>
      <c r="J287" s="63">
        <f t="shared" si="63"/>
        <v>0</v>
      </c>
      <c r="K287" s="63">
        <f t="shared" si="65"/>
        <v>99813</v>
      </c>
      <c r="L287" s="63">
        <f t="shared" si="63"/>
        <v>16038</v>
      </c>
      <c r="M287" s="63">
        <f t="shared" si="63"/>
        <v>0</v>
      </c>
      <c r="N287" s="63">
        <f t="shared" si="63"/>
        <v>0</v>
      </c>
      <c r="O287" s="63">
        <f t="shared" si="66"/>
        <v>16038</v>
      </c>
      <c r="R287" s="62">
        <f t="shared" si="67"/>
        <v>119226</v>
      </c>
      <c r="S287" s="62"/>
      <c r="V287" s="62"/>
      <c r="W287" s="62"/>
      <c r="X287" s="62"/>
      <c r="Y287" s="62"/>
      <c r="Z287" s="62"/>
    </row>
    <row r="288" spans="1:34" ht="39.75" hidden="1" customHeight="1" x14ac:dyDescent="0.25">
      <c r="A288" s="56" t="s">
        <v>31</v>
      </c>
      <c r="B288" s="54" t="s">
        <v>1</v>
      </c>
      <c r="C288" s="55">
        <f t="shared" si="63"/>
        <v>86129</v>
      </c>
      <c r="D288" s="55">
        <f t="shared" si="63"/>
        <v>6407</v>
      </c>
      <c r="E288" s="55">
        <f t="shared" si="63"/>
        <v>0</v>
      </c>
      <c r="F288" s="55">
        <f t="shared" si="63"/>
        <v>0</v>
      </c>
      <c r="G288" s="55">
        <f t="shared" si="64"/>
        <v>6407</v>
      </c>
      <c r="H288" s="63">
        <f t="shared" si="63"/>
        <v>76248</v>
      </c>
      <c r="I288" s="63">
        <f t="shared" si="63"/>
        <v>0</v>
      </c>
      <c r="J288" s="63">
        <f t="shared" si="63"/>
        <v>0</v>
      </c>
      <c r="K288" s="63">
        <f t="shared" si="65"/>
        <v>76248</v>
      </c>
      <c r="L288" s="63">
        <f t="shared" si="63"/>
        <v>3474</v>
      </c>
      <c r="M288" s="63">
        <f t="shared" si="63"/>
        <v>0</v>
      </c>
      <c r="N288" s="63">
        <f t="shared" si="63"/>
        <v>0</v>
      </c>
      <c r="O288" s="63">
        <f t="shared" si="66"/>
        <v>3474</v>
      </c>
      <c r="R288" s="62">
        <f t="shared" si="67"/>
        <v>86129</v>
      </c>
      <c r="S288" s="62"/>
      <c r="V288" s="62"/>
      <c r="W288" s="62"/>
      <c r="X288" s="62"/>
      <c r="Y288" s="62"/>
      <c r="Z288" s="62"/>
    </row>
    <row r="289" spans="1:34" ht="33" hidden="1" customHeight="1" x14ac:dyDescent="0.25">
      <c r="A289" s="56" t="s">
        <v>32</v>
      </c>
      <c r="B289" s="54" t="s">
        <v>73</v>
      </c>
      <c r="C289" s="55">
        <f t="shared" ref="C289:F290" si="68">C216+C240+C265</f>
        <v>146768</v>
      </c>
      <c r="D289" s="55">
        <f t="shared" si="68"/>
        <v>28868</v>
      </c>
      <c r="E289" s="55">
        <f t="shared" si="68"/>
        <v>0</v>
      </c>
      <c r="F289" s="55">
        <f t="shared" si="68"/>
        <v>0</v>
      </c>
      <c r="G289" s="55">
        <f t="shared" si="64"/>
        <v>28868</v>
      </c>
      <c r="H289" s="63">
        <f t="shared" ref="H289:J290" si="69">H216+H240+H265</f>
        <v>94498</v>
      </c>
      <c r="I289" s="63">
        <f t="shared" si="69"/>
        <v>0</v>
      </c>
      <c r="J289" s="63">
        <f t="shared" si="69"/>
        <v>0</v>
      </c>
      <c r="K289" s="63">
        <f t="shared" si="65"/>
        <v>94498</v>
      </c>
      <c r="L289" s="63">
        <f t="shared" ref="L289:N290" si="70">L216+L240+L265</f>
        <v>23402</v>
      </c>
      <c r="M289" s="63">
        <f t="shared" si="70"/>
        <v>0</v>
      </c>
      <c r="N289" s="63">
        <f t="shared" si="70"/>
        <v>0</v>
      </c>
      <c r="O289" s="63">
        <f t="shared" si="66"/>
        <v>23402</v>
      </c>
      <c r="R289" s="62">
        <f t="shared" si="67"/>
        <v>146768</v>
      </c>
      <c r="S289" s="62"/>
      <c r="V289" s="62"/>
      <c r="W289" s="62"/>
      <c r="X289" s="62"/>
      <c r="Y289" s="62"/>
      <c r="Z289" s="62"/>
    </row>
    <row r="290" spans="1:34" ht="33" hidden="1" customHeight="1" x14ac:dyDescent="0.25">
      <c r="A290" s="56" t="s">
        <v>90</v>
      </c>
      <c r="B290" s="70" t="s">
        <v>91</v>
      </c>
      <c r="C290" s="55">
        <f>E290+I290+M290</f>
        <v>184986</v>
      </c>
      <c r="D290" s="55">
        <f t="shared" si="68"/>
        <v>0</v>
      </c>
      <c r="E290" s="55">
        <f t="shared" si="68"/>
        <v>31308</v>
      </c>
      <c r="F290" s="55">
        <f t="shared" si="68"/>
        <v>0</v>
      </c>
      <c r="G290" s="55">
        <f t="shared" si="64"/>
        <v>31308</v>
      </c>
      <c r="H290" s="63">
        <f t="shared" si="69"/>
        <v>0</v>
      </c>
      <c r="I290" s="63">
        <f t="shared" si="69"/>
        <v>102918</v>
      </c>
      <c r="J290" s="63">
        <f t="shared" si="69"/>
        <v>0</v>
      </c>
      <c r="K290" s="63">
        <f t="shared" si="65"/>
        <v>102918</v>
      </c>
      <c r="L290" s="63">
        <f t="shared" si="70"/>
        <v>0</v>
      </c>
      <c r="M290" s="63">
        <f t="shared" si="70"/>
        <v>50760</v>
      </c>
      <c r="N290" s="63">
        <f t="shared" si="70"/>
        <v>0</v>
      </c>
      <c r="O290" s="63">
        <f t="shared" si="66"/>
        <v>50760</v>
      </c>
      <c r="R290" s="62">
        <f t="shared" si="67"/>
        <v>184986</v>
      </c>
      <c r="S290" s="62"/>
      <c r="V290" s="62"/>
      <c r="W290" s="62"/>
      <c r="X290" s="62"/>
      <c r="Y290" s="62"/>
      <c r="Z290" s="62"/>
    </row>
    <row r="291" spans="1:34" ht="25.5" hidden="1" customHeight="1" x14ac:dyDescent="0.25">
      <c r="A291" s="57"/>
      <c r="B291" s="57" t="s">
        <v>0</v>
      </c>
      <c r="C291" s="58">
        <f>C273+C275+C277+C279+C280+C283+C284+C285+C286</f>
        <v>27297341</v>
      </c>
      <c r="D291" s="58">
        <f t="shared" ref="D291" si="71">D273+D275+D277+D279+D280+D283+D284+D285+D286</f>
        <v>695337</v>
      </c>
      <c r="E291" s="58">
        <f>E273+E275+E277+E279+E280+E283+E284+E285+E286</f>
        <v>2251534</v>
      </c>
      <c r="F291" s="58">
        <f t="shared" ref="F291:O291" si="72">F273+F275+F277+F279+F280+F283+F284+F285+F286</f>
        <v>37287</v>
      </c>
      <c r="G291" s="58">
        <f t="shared" si="72"/>
        <v>2984158</v>
      </c>
      <c r="H291" s="58">
        <f t="shared" si="72"/>
        <v>6597338</v>
      </c>
      <c r="I291" s="58">
        <f t="shared" si="72"/>
        <v>14520042</v>
      </c>
      <c r="J291" s="58">
        <f t="shared" si="72"/>
        <v>340892</v>
      </c>
      <c r="K291" s="58">
        <f t="shared" si="72"/>
        <v>21458272</v>
      </c>
      <c r="L291" s="58">
        <f t="shared" si="72"/>
        <v>653513</v>
      </c>
      <c r="M291" s="58">
        <f t="shared" si="72"/>
        <v>2165270</v>
      </c>
      <c r="N291" s="58">
        <f t="shared" si="72"/>
        <v>36128</v>
      </c>
      <c r="O291" s="58">
        <f t="shared" si="72"/>
        <v>2854911</v>
      </c>
      <c r="R291" s="62">
        <f t="shared" si="67"/>
        <v>27297341</v>
      </c>
      <c r="S291" s="62"/>
      <c r="V291" s="62"/>
      <c r="W291" s="62"/>
      <c r="X291" s="62"/>
      <c r="Y291" s="62"/>
      <c r="Z291" s="62"/>
    </row>
    <row r="292" spans="1:34" hidden="1" x14ac:dyDescent="0.25"/>
    <row r="293" spans="1:34" hidden="1" x14ac:dyDescent="0.25">
      <c r="A293" s="161" t="s">
        <v>94</v>
      </c>
      <c r="B293" s="161"/>
      <c r="C293" s="161"/>
      <c r="D293" s="161"/>
      <c r="E293" s="161"/>
      <c r="F293" s="161"/>
      <c r="G293" s="161"/>
      <c r="H293" s="161"/>
      <c r="I293" s="161"/>
      <c r="J293" s="161"/>
      <c r="K293" s="161"/>
      <c r="L293" s="161"/>
      <c r="M293" s="161"/>
      <c r="N293" s="161"/>
      <c r="O293" s="161"/>
    </row>
    <row r="294" spans="1:34" s="4" customFormat="1" ht="28.5" customHeight="1" x14ac:dyDescent="0.25">
      <c r="A294" s="152" t="s">
        <v>17</v>
      </c>
      <c r="B294" s="152" t="s">
        <v>33</v>
      </c>
      <c r="C294" s="152" t="s">
        <v>84</v>
      </c>
      <c r="D294" s="152" t="s">
        <v>69</v>
      </c>
      <c r="E294" s="152"/>
      <c r="F294" s="152"/>
      <c r="G294" s="152"/>
      <c r="H294" s="152"/>
      <c r="I294" s="152"/>
      <c r="J294" s="152"/>
      <c r="K294" s="152"/>
      <c r="L294" s="152"/>
      <c r="M294" s="152"/>
      <c r="N294" s="152"/>
      <c r="O294" s="152"/>
      <c r="R294" s="61"/>
      <c r="S294" s="61"/>
      <c r="V294" s="61"/>
      <c r="W294" s="61"/>
      <c r="X294" s="61"/>
      <c r="Y294" s="61"/>
      <c r="Z294" s="61"/>
      <c r="AC294" s="95"/>
      <c r="AD294" s="95"/>
      <c r="AE294" s="95"/>
      <c r="AF294" s="95"/>
      <c r="AG294" s="93"/>
      <c r="AH294" s="95"/>
    </row>
    <row r="295" spans="1:34" s="4" customFormat="1" ht="41.25" customHeight="1" x14ac:dyDescent="0.25">
      <c r="A295" s="152"/>
      <c r="B295" s="152"/>
      <c r="C295" s="152"/>
      <c r="D295" s="154" t="s">
        <v>36</v>
      </c>
      <c r="E295" s="154"/>
      <c r="F295" s="154"/>
      <c r="G295" s="154"/>
      <c r="H295" s="155" t="s">
        <v>37</v>
      </c>
      <c r="I295" s="156"/>
      <c r="J295" s="156"/>
      <c r="K295" s="157"/>
      <c r="L295" s="155" t="s">
        <v>38</v>
      </c>
      <c r="M295" s="156"/>
      <c r="N295" s="156"/>
      <c r="O295" s="157"/>
      <c r="R295" s="61"/>
      <c r="S295" s="61"/>
      <c r="V295" s="61"/>
      <c r="W295" s="61"/>
      <c r="X295" s="61"/>
      <c r="Y295" s="61"/>
      <c r="Z295" s="61"/>
      <c r="AC295" s="95"/>
      <c r="AD295" s="95"/>
      <c r="AE295" s="95"/>
      <c r="AF295" s="95"/>
      <c r="AG295" s="93"/>
      <c r="AH295" s="95"/>
    </row>
    <row r="296" spans="1:34" s="4" customFormat="1" ht="59.25" customHeight="1" x14ac:dyDescent="0.25">
      <c r="A296" s="152"/>
      <c r="B296" s="152"/>
      <c r="C296" s="152"/>
      <c r="D296" s="109" t="s">
        <v>66</v>
      </c>
      <c r="E296" s="109" t="s">
        <v>67</v>
      </c>
      <c r="F296" s="109" t="s">
        <v>68</v>
      </c>
      <c r="G296" s="109" t="s">
        <v>70</v>
      </c>
      <c r="H296" s="65" t="s">
        <v>66</v>
      </c>
      <c r="I296" s="65" t="s">
        <v>67</v>
      </c>
      <c r="J296" s="65" t="s">
        <v>68</v>
      </c>
      <c r="K296" s="65" t="s">
        <v>71</v>
      </c>
      <c r="L296" s="65" t="s">
        <v>66</v>
      </c>
      <c r="M296" s="65" t="s">
        <v>67</v>
      </c>
      <c r="N296" s="65" t="s">
        <v>68</v>
      </c>
      <c r="O296" s="65" t="s">
        <v>72</v>
      </c>
      <c r="R296" s="61"/>
      <c r="S296" s="61"/>
      <c r="V296" s="61"/>
      <c r="W296" s="61"/>
      <c r="X296" s="61"/>
      <c r="Y296" s="61"/>
      <c r="Z296" s="61"/>
      <c r="AC296" s="95"/>
      <c r="AD296" s="95"/>
      <c r="AE296" s="95"/>
      <c r="AF296" s="95"/>
      <c r="AG296" s="93"/>
      <c r="AH296" s="95"/>
    </row>
    <row r="297" spans="1:34" s="3" customFormat="1" ht="14.25" customHeight="1" x14ac:dyDescent="0.25">
      <c r="A297" s="53">
        <v>1</v>
      </c>
      <c r="B297" s="53">
        <v>2</v>
      </c>
      <c r="C297" s="53">
        <v>3</v>
      </c>
      <c r="D297" s="53">
        <v>4</v>
      </c>
      <c r="E297" s="53">
        <v>5</v>
      </c>
      <c r="F297" s="53">
        <v>6</v>
      </c>
      <c r="G297" s="53">
        <v>7</v>
      </c>
      <c r="H297" s="66">
        <v>8</v>
      </c>
      <c r="I297" s="66">
        <v>9</v>
      </c>
      <c r="J297" s="66">
        <v>10</v>
      </c>
      <c r="K297" s="66">
        <v>11</v>
      </c>
      <c r="L297" s="66">
        <v>12</v>
      </c>
      <c r="M297" s="66">
        <v>13</v>
      </c>
      <c r="N297" s="66">
        <v>14</v>
      </c>
      <c r="O297" s="66">
        <v>15</v>
      </c>
      <c r="R297" s="61"/>
      <c r="S297" s="61"/>
      <c r="V297" s="61"/>
      <c r="W297" s="61"/>
      <c r="X297" s="61"/>
      <c r="Y297" s="61"/>
      <c r="Z297" s="61"/>
      <c r="AC297" s="95"/>
      <c r="AD297" s="95"/>
      <c r="AE297" s="95"/>
      <c r="AF297" s="95"/>
      <c r="AG297" s="94"/>
      <c r="AH297" s="95"/>
    </row>
    <row r="298" spans="1:34" s="3" customFormat="1" ht="25.5" hidden="1" customHeight="1" x14ac:dyDescent="0.25">
      <c r="A298" s="53" t="s">
        <v>16</v>
      </c>
      <c r="B298" s="54" t="s">
        <v>15</v>
      </c>
      <c r="C298" s="55">
        <f>5388736+722405</f>
        <v>6111141</v>
      </c>
      <c r="D298" s="55">
        <f>95180+12751</f>
        <v>107931</v>
      </c>
      <c r="E298" s="55">
        <f>745625+99966</f>
        <v>845591</v>
      </c>
      <c r="F298" s="55">
        <v>0</v>
      </c>
      <c r="G298" s="55">
        <f>D298+E298+F298</f>
        <v>953522</v>
      </c>
      <c r="H298" s="63">
        <f>401334+53764</f>
        <v>455098</v>
      </c>
      <c r="I298" s="63">
        <f>3144023+421521</f>
        <v>3565544</v>
      </c>
      <c r="J298" s="63">
        <v>0</v>
      </c>
      <c r="K298" s="63">
        <f>H298+I298+J298</f>
        <v>4020642</v>
      </c>
      <c r="L298" s="63">
        <f>113491+15203</f>
        <v>128694</v>
      </c>
      <c r="M298" s="63">
        <f>889083+119200</f>
        <v>1008283</v>
      </c>
      <c r="N298" s="63">
        <v>0</v>
      </c>
      <c r="O298" s="63">
        <f>L298+M298+N298</f>
        <v>1136977</v>
      </c>
      <c r="R298" s="62">
        <f>G298+K298+O298</f>
        <v>6111141</v>
      </c>
      <c r="S298" s="62"/>
      <c r="V298" s="62"/>
      <c r="W298" s="62"/>
      <c r="X298" s="62"/>
      <c r="Y298" s="62"/>
      <c r="Z298" s="62"/>
      <c r="AC298" s="99"/>
      <c r="AD298" s="99"/>
      <c r="AE298" s="99"/>
      <c r="AF298" s="98"/>
      <c r="AG298" s="92"/>
      <c r="AH298" s="98"/>
    </row>
    <row r="299" spans="1:34" ht="40.5" hidden="1" customHeight="1" x14ac:dyDescent="0.25">
      <c r="A299" s="56" t="s">
        <v>24</v>
      </c>
      <c r="B299" s="54" t="s">
        <v>14</v>
      </c>
      <c r="C299" s="55">
        <v>284164</v>
      </c>
      <c r="D299" s="55">
        <v>31173</v>
      </c>
      <c r="E299" s="55">
        <v>26857</v>
      </c>
      <c r="F299" s="55">
        <v>854</v>
      </c>
      <c r="G299" s="55">
        <f t="shared" ref="G299:G315" si="73">D299+E299+F299</f>
        <v>58884</v>
      </c>
      <c r="H299" s="63">
        <v>91613</v>
      </c>
      <c r="I299" s="63">
        <v>78928</v>
      </c>
      <c r="J299" s="63">
        <v>2509</v>
      </c>
      <c r="K299" s="63">
        <f t="shared" ref="K299:K315" si="74">H299+I299+J299</f>
        <v>173050</v>
      </c>
      <c r="L299" s="63">
        <v>27650</v>
      </c>
      <c r="M299" s="63">
        <v>23822</v>
      </c>
      <c r="N299" s="63">
        <v>758</v>
      </c>
      <c r="O299" s="63">
        <f t="shared" ref="O299:O315" si="75">L299+M299+N299</f>
        <v>52230</v>
      </c>
      <c r="R299" s="62">
        <f t="shared" ref="R299:R315" si="76">G299+K299+O299</f>
        <v>284164</v>
      </c>
      <c r="S299" s="62"/>
      <c r="V299" s="62"/>
      <c r="W299" s="62"/>
      <c r="X299" s="62"/>
      <c r="Y299" s="62"/>
      <c r="Z299" s="62"/>
      <c r="AC299" s="99"/>
      <c r="AF299" s="98"/>
      <c r="AH299" s="98"/>
    </row>
    <row r="300" spans="1:34" ht="34.5" hidden="1" customHeight="1" x14ac:dyDescent="0.25">
      <c r="A300" s="56" t="s">
        <v>24</v>
      </c>
      <c r="B300" s="54" t="s">
        <v>13</v>
      </c>
      <c r="C300" s="55">
        <f>1695780+58889</f>
        <v>1754669</v>
      </c>
      <c r="D300" s="55">
        <v>0</v>
      </c>
      <c r="E300" s="55">
        <f>96117+3338</f>
        <v>99455</v>
      </c>
      <c r="F300" s="55">
        <v>0</v>
      </c>
      <c r="G300" s="55">
        <f t="shared" si="73"/>
        <v>99455</v>
      </c>
      <c r="H300" s="63">
        <v>0</v>
      </c>
      <c r="I300" s="63">
        <f>1424710+49476</f>
        <v>1474186</v>
      </c>
      <c r="J300" s="63">
        <v>0</v>
      </c>
      <c r="K300" s="63">
        <f t="shared" si="74"/>
        <v>1474186</v>
      </c>
      <c r="L300" s="63">
        <v>0</v>
      </c>
      <c r="M300" s="63">
        <f>174953+6075</f>
        <v>181028</v>
      </c>
      <c r="N300" s="63">
        <v>0</v>
      </c>
      <c r="O300" s="63">
        <f t="shared" si="75"/>
        <v>181028</v>
      </c>
      <c r="R300" s="62">
        <f t="shared" si="76"/>
        <v>1754669</v>
      </c>
      <c r="S300" s="62"/>
      <c r="V300" s="62"/>
      <c r="W300" s="62"/>
      <c r="X300" s="62"/>
      <c r="Y300" s="62"/>
      <c r="Z300" s="62"/>
      <c r="AC300" s="99"/>
      <c r="AD300" s="99"/>
      <c r="AE300" s="99"/>
      <c r="AF300" s="98"/>
      <c r="AH300" s="98"/>
    </row>
    <row r="301" spans="1:34" ht="40.5" hidden="1" customHeight="1" x14ac:dyDescent="0.25">
      <c r="A301" s="56" t="s">
        <v>22</v>
      </c>
      <c r="B301" s="54" t="s">
        <v>12</v>
      </c>
      <c r="C301" s="55">
        <v>123557</v>
      </c>
      <c r="D301" s="55">
        <v>14213</v>
      </c>
      <c r="E301" s="55">
        <v>0</v>
      </c>
      <c r="F301" s="55">
        <v>0</v>
      </c>
      <c r="G301" s="55">
        <f t="shared" si="73"/>
        <v>14213</v>
      </c>
      <c r="H301" s="63">
        <v>92435</v>
      </c>
      <c r="I301" s="63">
        <v>0</v>
      </c>
      <c r="J301" s="63">
        <v>0</v>
      </c>
      <c r="K301" s="63">
        <f t="shared" si="74"/>
        <v>92435</v>
      </c>
      <c r="L301" s="63">
        <v>16909</v>
      </c>
      <c r="M301" s="63">
        <v>0</v>
      </c>
      <c r="N301" s="63">
        <v>0</v>
      </c>
      <c r="O301" s="63">
        <f t="shared" si="75"/>
        <v>16909</v>
      </c>
      <c r="R301" s="62">
        <f t="shared" si="76"/>
        <v>123557</v>
      </c>
      <c r="S301" s="62"/>
      <c r="V301" s="62"/>
      <c r="W301" s="62"/>
      <c r="X301" s="62"/>
      <c r="Y301" s="62"/>
      <c r="Z301" s="62"/>
      <c r="AC301" s="99"/>
      <c r="AF301" s="98"/>
      <c r="AH301" s="98"/>
    </row>
    <row r="302" spans="1:34" ht="39.75" hidden="1" customHeight="1" x14ac:dyDescent="0.25">
      <c r="A302" s="56" t="s">
        <v>23</v>
      </c>
      <c r="B302" s="54" t="s">
        <v>11</v>
      </c>
      <c r="C302" s="55">
        <f>142105+37483</f>
        <v>179588</v>
      </c>
      <c r="D302" s="55">
        <f>5576+1472</f>
        <v>7048</v>
      </c>
      <c r="E302" s="55">
        <f>8806+2322</f>
        <v>11128</v>
      </c>
      <c r="F302" s="55">
        <f>3786+999</f>
        <v>4785</v>
      </c>
      <c r="G302" s="55">
        <f t="shared" si="73"/>
        <v>22961</v>
      </c>
      <c r="H302" s="63">
        <f>29578+7807</f>
        <v>37385</v>
      </c>
      <c r="I302" s="63">
        <f>46714+12317</f>
        <v>59031</v>
      </c>
      <c r="J302" s="63">
        <f>20085+5297</f>
        <v>25382</v>
      </c>
      <c r="K302" s="63">
        <f t="shared" si="74"/>
        <v>121798</v>
      </c>
      <c r="L302" s="63">
        <f>8458+2232</f>
        <v>10690</v>
      </c>
      <c r="M302" s="63">
        <f>13358+3522</f>
        <v>16880</v>
      </c>
      <c r="N302" s="63">
        <f>5744+1515</f>
        <v>7259</v>
      </c>
      <c r="O302" s="63">
        <f t="shared" si="75"/>
        <v>34829</v>
      </c>
      <c r="R302" s="62">
        <f t="shared" si="76"/>
        <v>179588</v>
      </c>
      <c r="S302" s="62"/>
      <c r="V302" s="62"/>
      <c r="W302" s="62"/>
      <c r="X302" s="62"/>
      <c r="Y302" s="62"/>
      <c r="Z302" s="62"/>
      <c r="AC302" s="99"/>
      <c r="AD302" s="99"/>
      <c r="AE302" s="99"/>
      <c r="AF302" s="98"/>
      <c r="AH302" s="98"/>
    </row>
    <row r="303" spans="1:34" ht="28.5" hidden="1" customHeight="1" x14ac:dyDescent="0.25">
      <c r="A303" s="56" t="s">
        <v>20</v>
      </c>
      <c r="B303" s="54" t="s">
        <v>34</v>
      </c>
      <c r="C303" s="55">
        <v>239410</v>
      </c>
      <c r="D303" s="55">
        <v>44813</v>
      </c>
      <c r="E303" s="55">
        <v>0</v>
      </c>
      <c r="F303" s="55">
        <v>0</v>
      </c>
      <c r="G303" s="55">
        <f t="shared" si="73"/>
        <v>44813</v>
      </c>
      <c r="H303" s="63">
        <v>146272</v>
      </c>
      <c r="I303" s="63">
        <v>0</v>
      </c>
      <c r="J303" s="63">
        <v>0</v>
      </c>
      <c r="K303" s="63">
        <f t="shared" si="74"/>
        <v>146272</v>
      </c>
      <c r="L303" s="63">
        <v>48325</v>
      </c>
      <c r="M303" s="63">
        <v>0</v>
      </c>
      <c r="N303" s="63">
        <v>0</v>
      </c>
      <c r="O303" s="63">
        <f t="shared" si="75"/>
        <v>48325</v>
      </c>
      <c r="R303" s="62">
        <f t="shared" si="76"/>
        <v>239410</v>
      </c>
      <c r="S303" s="62"/>
      <c r="V303" s="62"/>
      <c r="W303" s="62"/>
      <c r="X303" s="62"/>
      <c r="Y303" s="62"/>
      <c r="Z303" s="62"/>
      <c r="AC303" s="99"/>
      <c r="AF303" s="98"/>
      <c r="AH303" s="98"/>
    </row>
    <row r="304" spans="1:34" ht="34.5" hidden="1" customHeight="1" x14ac:dyDescent="0.25">
      <c r="A304" s="56" t="s">
        <v>22</v>
      </c>
      <c r="B304" s="54" t="s">
        <v>10</v>
      </c>
      <c r="C304" s="55">
        <f>1105362+7612</f>
        <v>1112974</v>
      </c>
      <c r="D304" s="55">
        <f>24003+165</f>
        <v>24168</v>
      </c>
      <c r="E304" s="55">
        <f>31394+216</f>
        <v>31610</v>
      </c>
      <c r="F304" s="55">
        <f>1496+10</f>
        <v>1506</v>
      </c>
      <c r="G304" s="55">
        <f t="shared" si="73"/>
        <v>57284</v>
      </c>
      <c r="H304" s="63">
        <f>373324+2571</f>
        <v>375895</v>
      </c>
      <c r="I304" s="63">
        <f>488268+3363</f>
        <v>491631</v>
      </c>
      <c r="J304" s="63">
        <f>23272+160</f>
        <v>23432</v>
      </c>
      <c r="K304" s="63">
        <f t="shared" si="74"/>
        <v>890958</v>
      </c>
      <c r="L304" s="63">
        <f>69025+476</f>
        <v>69501</v>
      </c>
      <c r="M304" s="63">
        <f>90277+622</f>
        <v>90899</v>
      </c>
      <c r="N304" s="63">
        <f>4303+29</f>
        <v>4332</v>
      </c>
      <c r="O304" s="63">
        <f t="shared" si="75"/>
        <v>164732</v>
      </c>
      <c r="R304" s="62">
        <f t="shared" si="76"/>
        <v>1112974</v>
      </c>
      <c r="S304" s="62"/>
      <c r="V304" s="62"/>
      <c r="W304" s="62"/>
      <c r="X304" s="62"/>
      <c r="Y304" s="62"/>
      <c r="Z304" s="62"/>
      <c r="AC304" s="99"/>
      <c r="AD304" s="99"/>
      <c r="AE304" s="99"/>
      <c r="AF304" s="98"/>
      <c r="AH304" s="98"/>
    </row>
    <row r="305" spans="1:34" ht="25.5" hidden="1" customHeight="1" x14ac:dyDescent="0.25">
      <c r="A305" s="56" t="s">
        <v>21</v>
      </c>
      <c r="B305" s="54" t="s">
        <v>9</v>
      </c>
      <c r="C305" s="55">
        <f>896894+431355</f>
        <v>1328249</v>
      </c>
      <c r="D305" s="55">
        <f>89132+44181</f>
        <v>133313</v>
      </c>
      <c r="E305" s="55">
        <f>124107+58421</f>
        <v>182528</v>
      </c>
      <c r="F305" s="55">
        <f>2787+1294</f>
        <v>4081</v>
      </c>
      <c r="G305" s="55">
        <f t="shared" si="73"/>
        <v>319922</v>
      </c>
      <c r="H305" s="63">
        <f>278506+138052</f>
        <v>416558</v>
      </c>
      <c r="I305" s="63">
        <f>387789+182543</f>
        <v>570332</v>
      </c>
      <c r="J305" s="63">
        <f>8707+4043</f>
        <v>12750</v>
      </c>
      <c r="K305" s="63">
        <f t="shared" si="74"/>
        <v>999640</v>
      </c>
      <c r="L305" s="63">
        <f>2420+1200</f>
        <v>3620</v>
      </c>
      <c r="M305" s="63">
        <f>3370+1586</f>
        <v>4956</v>
      </c>
      <c r="N305" s="63">
        <f>76+35</f>
        <v>111</v>
      </c>
      <c r="O305" s="63">
        <f t="shared" si="75"/>
        <v>8687</v>
      </c>
      <c r="R305" s="62">
        <f t="shared" si="76"/>
        <v>1328249</v>
      </c>
      <c r="S305" s="62"/>
      <c r="V305" s="62"/>
      <c r="W305" s="62"/>
      <c r="X305" s="62"/>
      <c r="Y305" s="62"/>
      <c r="Z305" s="62"/>
      <c r="AC305" s="99"/>
      <c r="AD305" s="99"/>
      <c r="AE305" s="99"/>
      <c r="AF305" s="98"/>
      <c r="AH305" s="98"/>
    </row>
    <row r="306" spans="1:34" ht="25.5" hidden="1" customHeight="1" x14ac:dyDescent="0.25">
      <c r="A306" s="56" t="s">
        <v>25</v>
      </c>
      <c r="B306" s="54" t="s">
        <v>8</v>
      </c>
      <c r="C306" s="55">
        <v>1420854</v>
      </c>
      <c r="D306" s="55">
        <v>9536</v>
      </c>
      <c r="E306" s="55">
        <v>46588</v>
      </c>
      <c r="F306" s="55">
        <v>0</v>
      </c>
      <c r="G306" s="55">
        <f t="shared" si="73"/>
        <v>56124</v>
      </c>
      <c r="H306" s="63">
        <v>154759</v>
      </c>
      <c r="I306" s="63">
        <v>756122</v>
      </c>
      <c r="J306" s="63">
        <v>0</v>
      </c>
      <c r="K306" s="63">
        <f t="shared" si="74"/>
        <v>910881</v>
      </c>
      <c r="L306" s="63">
        <v>77109</v>
      </c>
      <c r="M306" s="63">
        <v>376740</v>
      </c>
      <c r="N306" s="63">
        <v>0</v>
      </c>
      <c r="O306" s="63">
        <f t="shared" si="75"/>
        <v>453849</v>
      </c>
      <c r="R306" s="62">
        <f t="shared" si="76"/>
        <v>1420854</v>
      </c>
      <c r="S306" s="62"/>
      <c r="V306" s="62"/>
      <c r="W306" s="62"/>
      <c r="X306" s="62"/>
      <c r="Y306" s="62"/>
      <c r="Z306" s="62"/>
      <c r="AC306" s="99"/>
      <c r="AF306" s="98"/>
      <c r="AH306" s="98"/>
    </row>
    <row r="307" spans="1:34" ht="25.5" hidden="1" customHeight="1" x14ac:dyDescent="0.25">
      <c r="A307" s="56" t="s">
        <v>26</v>
      </c>
      <c r="B307" s="54" t="s">
        <v>7</v>
      </c>
      <c r="C307" s="55">
        <v>703414</v>
      </c>
      <c r="D307" s="55">
        <v>1604</v>
      </c>
      <c r="E307" s="55">
        <v>11248</v>
      </c>
      <c r="F307" s="55">
        <v>0</v>
      </c>
      <c r="G307" s="55">
        <f t="shared" si="73"/>
        <v>12852</v>
      </c>
      <c r="H307" s="63">
        <v>78356</v>
      </c>
      <c r="I307" s="63">
        <v>549497</v>
      </c>
      <c r="J307" s="63">
        <v>0</v>
      </c>
      <c r="K307" s="63">
        <f t="shared" si="74"/>
        <v>627853</v>
      </c>
      <c r="L307" s="63">
        <v>7826</v>
      </c>
      <c r="M307" s="63">
        <v>54883</v>
      </c>
      <c r="N307" s="63">
        <v>0</v>
      </c>
      <c r="O307" s="63">
        <f t="shared" si="75"/>
        <v>62709</v>
      </c>
      <c r="R307" s="62">
        <f t="shared" si="76"/>
        <v>703414</v>
      </c>
      <c r="S307" s="62"/>
      <c r="V307" s="62"/>
      <c r="W307" s="62"/>
      <c r="X307" s="62"/>
      <c r="Y307" s="62"/>
      <c r="Z307" s="62"/>
      <c r="AC307" s="99"/>
      <c r="AF307" s="98"/>
      <c r="AH307" s="98"/>
    </row>
    <row r="308" spans="1:34" ht="25.5" customHeight="1" x14ac:dyDescent="0.25">
      <c r="A308" s="56" t="s">
        <v>20</v>
      </c>
      <c r="B308" s="54" t="s">
        <v>6</v>
      </c>
      <c r="C308" s="55">
        <f>458896+622839</f>
        <v>1081735</v>
      </c>
      <c r="D308" s="55">
        <f>1637+2164</f>
        <v>3801</v>
      </c>
      <c r="E308" s="55">
        <f>1521+2123</f>
        <v>3644</v>
      </c>
      <c r="F308" s="55">
        <f>41+54</f>
        <v>95</v>
      </c>
      <c r="G308" s="55">
        <f t="shared" si="73"/>
        <v>7540</v>
      </c>
      <c r="H308" s="63">
        <f>232783+307849</f>
        <v>540632</v>
      </c>
      <c r="I308" s="63">
        <f>216402+301986</f>
        <v>518388</v>
      </c>
      <c r="J308" s="63">
        <f>5824+7728</f>
        <v>13552</v>
      </c>
      <c r="K308" s="63">
        <f t="shared" si="74"/>
        <v>1072572</v>
      </c>
      <c r="L308" s="63">
        <f>352+466</f>
        <v>818</v>
      </c>
      <c r="M308" s="63">
        <f>327+457</f>
        <v>784</v>
      </c>
      <c r="N308" s="63">
        <f>9+12</f>
        <v>21</v>
      </c>
      <c r="O308" s="63">
        <f t="shared" si="75"/>
        <v>1623</v>
      </c>
      <c r="R308" s="62">
        <f t="shared" si="76"/>
        <v>1081735</v>
      </c>
      <c r="S308" s="62"/>
      <c r="V308" s="62"/>
      <c r="W308" s="62"/>
      <c r="X308" s="62"/>
      <c r="Y308" s="62"/>
      <c r="Z308" s="62"/>
      <c r="AC308" s="99"/>
      <c r="AD308" s="99"/>
      <c r="AE308" s="99"/>
      <c r="AF308" s="98"/>
      <c r="AH308" s="98"/>
    </row>
    <row r="309" spans="1:34" ht="25.5" hidden="1" customHeight="1" x14ac:dyDescent="0.25">
      <c r="A309" s="56" t="s">
        <v>19</v>
      </c>
      <c r="B309" s="54" t="s">
        <v>5</v>
      </c>
      <c r="C309" s="55">
        <f>728497+913326</f>
        <v>1641823</v>
      </c>
      <c r="D309" s="55">
        <f>20853+32504</f>
        <v>53357</v>
      </c>
      <c r="E309" s="55">
        <f>75077+88715</f>
        <v>163792</v>
      </c>
      <c r="F309" s="55">
        <f>4857+5139</f>
        <v>9996</v>
      </c>
      <c r="G309" s="55">
        <f t="shared" si="73"/>
        <v>227145</v>
      </c>
      <c r="H309" s="63">
        <f>128609+200468</f>
        <v>329077</v>
      </c>
      <c r="I309" s="63">
        <f>463028+547141</f>
        <v>1010169</v>
      </c>
      <c r="J309" s="63">
        <f>29961+31696</f>
        <v>61657</v>
      </c>
      <c r="K309" s="63">
        <f t="shared" si="74"/>
        <v>1400903</v>
      </c>
      <c r="L309" s="63">
        <f>1264+1971</f>
        <v>3235</v>
      </c>
      <c r="M309" s="63">
        <f>4553+5380</f>
        <v>9933</v>
      </c>
      <c r="N309" s="63">
        <f>295+312</f>
        <v>607</v>
      </c>
      <c r="O309" s="63">
        <f t="shared" si="75"/>
        <v>13775</v>
      </c>
      <c r="R309" s="62">
        <f t="shared" si="76"/>
        <v>1641823</v>
      </c>
      <c r="S309" s="62"/>
      <c r="V309" s="62"/>
      <c r="W309" s="62"/>
      <c r="X309" s="62"/>
      <c r="Y309" s="62"/>
      <c r="Z309" s="62"/>
      <c r="AC309" s="99"/>
      <c r="AD309" s="99"/>
      <c r="AE309" s="99"/>
      <c r="AF309" s="98"/>
      <c r="AH309" s="98"/>
    </row>
    <row r="310" spans="1:34" ht="25.5" hidden="1" customHeight="1" x14ac:dyDescent="0.25">
      <c r="A310" s="56" t="s">
        <v>18</v>
      </c>
      <c r="B310" s="54" t="s">
        <v>4</v>
      </c>
      <c r="C310" s="55">
        <f>470406+675441</f>
        <v>1145847</v>
      </c>
      <c r="D310" s="55">
        <f>9122+13098</f>
        <v>22220</v>
      </c>
      <c r="E310" s="55">
        <f>15371+22072</f>
        <v>37443</v>
      </c>
      <c r="F310" s="55">
        <f>636+913</f>
        <v>1549</v>
      </c>
      <c r="G310" s="55">
        <f t="shared" si="73"/>
        <v>61212</v>
      </c>
      <c r="H310" s="63">
        <f>156296+224415</f>
        <v>380711</v>
      </c>
      <c r="I310" s="63">
        <f>263378+378186</f>
        <v>641564</v>
      </c>
      <c r="J310" s="63">
        <f>10893+15636</f>
        <v>26529</v>
      </c>
      <c r="K310" s="63">
        <f t="shared" si="74"/>
        <v>1048804</v>
      </c>
      <c r="L310" s="63">
        <f>5340+7667</f>
        <v>13007</v>
      </c>
      <c r="M310" s="63">
        <f>8998+12920</f>
        <v>21918</v>
      </c>
      <c r="N310" s="63">
        <f>372+534</f>
        <v>906</v>
      </c>
      <c r="O310" s="63">
        <f t="shared" si="75"/>
        <v>35831</v>
      </c>
      <c r="R310" s="62">
        <f t="shared" si="76"/>
        <v>1145847</v>
      </c>
      <c r="S310" s="62"/>
      <c r="V310" s="62"/>
      <c r="W310" s="62"/>
      <c r="X310" s="62"/>
      <c r="Y310" s="62"/>
      <c r="Z310" s="62"/>
      <c r="AC310" s="99"/>
      <c r="AD310" s="99"/>
      <c r="AE310" s="99"/>
      <c r="AF310" s="98"/>
      <c r="AH310" s="98"/>
    </row>
    <row r="311" spans="1:34" ht="25.5" hidden="1" customHeight="1" x14ac:dyDescent="0.25">
      <c r="A311" s="56" t="s">
        <v>25</v>
      </c>
      <c r="B311" s="54" t="s">
        <v>3</v>
      </c>
      <c r="C311" s="55">
        <f>912752+170050</f>
        <v>1082802</v>
      </c>
      <c r="D311" s="55">
        <f>43749+8151</f>
        <v>51900</v>
      </c>
      <c r="E311" s="55">
        <f>21538+4012</f>
        <v>25550</v>
      </c>
      <c r="F311" s="55">
        <f>2019+377</f>
        <v>2396</v>
      </c>
      <c r="G311" s="55">
        <f t="shared" si="73"/>
        <v>79846</v>
      </c>
      <c r="H311" s="63">
        <f>488811+91066</f>
        <v>579877</v>
      </c>
      <c r="I311" s="63">
        <f>240645+44829</f>
        <v>285474</v>
      </c>
      <c r="J311" s="63">
        <f>22561+4208</f>
        <v>26769</v>
      </c>
      <c r="K311" s="63">
        <f t="shared" si="74"/>
        <v>892120</v>
      </c>
      <c r="L311" s="63">
        <f>60729+11314</f>
        <v>72043</v>
      </c>
      <c r="M311" s="63">
        <f>29897+5570</f>
        <v>35467</v>
      </c>
      <c r="N311" s="63">
        <f>2803+523</f>
        <v>3326</v>
      </c>
      <c r="O311" s="63">
        <f t="shared" si="75"/>
        <v>110836</v>
      </c>
      <c r="R311" s="62">
        <f t="shared" si="76"/>
        <v>1082802</v>
      </c>
      <c r="S311" s="62"/>
      <c r="V311" s="62"/>
      <c r="W311" s="62"/>
      <c r="X311" s="62"/>
      <c r="Y311" s="62"/>
      <c r="Z311" s="62"/>
      <c r="AC311" s="99"/>
      <c r="AD311" s="99"/>
      <c r="AE311" s="99"/>
      <c r="AF311" s="98"/>
      <c r="AH311" s="98"/>
    </row>
    <row r="312" spans="1:34" ht="54" hidden="1" customHeight="1" x14ac:dyDescent="0.25">
      <c r="A312" s="56" t="s">
        <v>30</v>
      </c>
      <c r="B312" s="54" t="s">
        <v>2</v>
      </c>
      <c r="C312" s="55">
        <v>97209</v>
      </c>
      <c r="D312" s="55">
        <v>2753</v>
      </c>
      <c r="E312" s="55">
        <v>0</v>
      </c>
      <c r="F312" s="55">
        <v>0</v>
      </c>
      <c r="G312" s="55">
        <f t="shared" si="73"/>
        <v>2753</v>
      </c>
      <c r="H312" s="63">
        <v>81380</v>
      </c>
      <c r="I312" s="63">
        <v>0</v>
      </c>
      <c r="J312" s="63">
        <v>0</v>
      </c>
      <c r="K312" s="63">
        <f t="shared" si="74"/>
        <v>81380</v>
      </c>
      <c r="L312" s="63">
        <v>13076</v>
      </c>
      <c r="M312" s="63">
        <v>0</v>
      </c>
      <c r="N312" s="63">
        <v>0</v>
      </c>
      <c r="O312" s="63">
        <f t="shared" si="75"/>
        <v>13076</v>
      </c>
      <c r="R312" s="62">
        <f t="shared" si="76"/>
        <v>97209</v>
      </c>
      <c r="S312" s="62"/>
      <c r="V312" s="62"/>
      <c r="W312" s="62"/>
      <c r="X312" s="62"/>
      <c r="Y312" s="62"/>
      <c r="Z312" s="62"/>
    </row>
    <row r="313" spans="1:34" ht="39.75" hidden="1" customHeight="1" x14ac:dyDescent="0.25">
      <c r="A313" s="56" t="s">
        <v>31</v>
      </c>
      <c r="B313" s="54" t="s">
        <v>1</v>
      </c>
      <c r="C313" s="55">
        <v>48664</v>
      </c>
      <c r="D313" s="55">
        <v>3620</v>
      </c>
      <c r="E313" s="55">
        <v>0</v>
      </c>
      <c r="F313" s="55">
        <v>0</v>
      </c>
      <c r="G313" s="55">
        <f t="shared" si="73"/>
        <v>3620</v>
      </c>
      <c r="H313" s="63">
        <v>43081</v>
      </c>
      <c r="I313" s="63">
        <v>0</v>
      </c>
      <c r="J313" s="63">
        <v>0</v>
      </c>
      <c r="K313" s="63">
        <f t="shared" si="74"/>
        <v>43081</v>
      </c>
      <c r="L313" s="63">
        <v>1963</v>
      </c>
      <c r="M313" s="63">
        <v>0</v>
      </c>
      <c r="N313" s="63">
        <v>0</v>
      </c>
      <c r="O313" s="63">
        <f t="shared" si="75"/>
        <v>1963</v>
      </c>
      <c r="R313" s="62">
        <f t="shared" si="76"/>
        <v>48664</v>
      </c>
      <c r="S313" s="62"/>
      <c r="V313" s="62"/>
      <c r="W313" s="62"/>
      <c r="X313" s="62"/>
      <c r="Y313" s="62"/>
      <c r="Z313" s="62"/>
    </row>
    <row r="314" spans="1:34" ht="33" hidden="1" customHeight="1" x14ac:dyDescent="0.25">
      <c r="A314" s="56" t="s">
        <v>32</v>
      </c>
      <c r="B314" s="54" t="s">
        <v>73</v>
      </c>
      <c r="C314" s="55">
        <v>41245</v>
      </c>
      <c r="D314" s="55">
        <v>8112</v>
      </c>
      <c r="E314" s="55">
        <v>0</v>
      </c>
      <c r="F314" s="55">
        <v>0</v>
      </c>
      <c r="G314" s="55">
        <f t="shared" si="73"/>
        <v>8112</v>
      </c>
      <c r="H314" s="63">
        <v>26556</v>
      </c>
      <c r="I314" s="63">
        <v>0</v>
      </c>
      <c r="J314" s="63">
        <v>0</v>
      </c>
      <c r="K314" s="63">
        <f t="shared" si="74"/>
        <v>26556</v>
      </c>
      <c r="L314" s="63">
        <v>6577</v>
      </c>
      <c r="M314" s="63">
        <v>0</v>
      </c>
      <c r="N314" s="63">
        <v>0</v>
      </c>
      <c r="O314" s="63">
        <f t="shared" si="75"/>
        <v>6577</v>
      </c>
      <c r="R314" s="62">
        <f t="shared" si="76"/>
        <v>41245</v>
      </c>
      <c r="S314" s="62"/>
      <c r="V314" s="62"/>
      <c r="W314" s="62"/>
      <c r="X314" s="62"/>
      <c r="Y314" s="62"/>
      <c r="Z314" s="62"/>
    </row>
    <row r="315" spans="1:34" ht="33" hidden="1" customHeight="1" x14ac:dyDescent="0.25">
      <c r="A315" s="56" t="s">
        <v>90</v>
      </c>
      <c r="B315" s="70" t="s">
        <v>91</v>
      </c>
      <c r="C315" s="55">
        <f>E315+I315+M315</f>
        <v>61662</v>
      </c>
      <c r="D315" s="55">
        <v>0</v>
      </c>
      <c r="E315" s="55">
        <v>10436</v>
      </c>
      <c r="F315" s="55">
        <v>0</v>
      </c>
      <c r="G315" s="55">
        <f t="shared" si="73"/>
        <v>10436</v>
      </c>
      <c r="H315" s="63">
        <v>0</v>
      </c>
      <c r="I315" s="63">
        <v>34306</v>
      </c>
      <c r="J315" s="63">
        <v>0</v>
      </c>
      <c r="K315" s="63">
        <f t="shared" si="74"/>
        <v>34306</v>
      </c>
      <c r="L315" s="63">
        <v>0</v>
      </c>
      <c r="M315" s="63">
        <v>16920</v>
      </c>
      <c r="N315" s="63">
        <v>0</v>
      </c>
      <c r="O315" s="63">
        <f t="shared" si="75"/>
        <v>16920</v>
      </c>
      <c r="R315" s="62">
        <f t="shared" si="76"/>
        <v>61662</v>
      </c>
      <c r="S315" s="62"/>
      <c r="V315" s="62"/>
      <c r="W315" s="62"/>
      <c r="X315" s="62"/>
      <c r="Y315" s="62"/>
      <c r="Z315" s="62"/>
    </row>
    <row r="316" spans="1:34" ht="25.5" hidden="1" customHeight="1" x14ac:dyDescent="0.25">
      <c r="A316" s="57"/>
      <c r="B316" s="57" t="s">
        <v>0</v>
      </c>
      <c r="C316" s="58">
        <f>C298+C300+C302+C304+C305+C308+C309+C310+C311</f>
        <v>15438828</v>
      </c>
      <c r="D316" s="58">
        <f t="shared" ref="D316:O316" si="77">D298+D300+D302+D304+D305+D308+D309+D310+D311</f>
        <v>403738</v>
      </c>
      <c r="E316" s="58">
        <f>E298+E300+E302+E304+E305+E308+E309+E310+E311</f>
        <v>1400741</v>
      </c>
      <c r="F316" s="58">
        <f t="shared" si="77"/>
        <v>24408</v>
      </c>
      <c r="G316" s="58">
        <f t="shared" si="77"/>
        <v>1828887</v>
      </c>
      <c r="H316" s="58">
        <f t="shared" si="77"/>
        <v>3115233</v>
      </c>
      <c r="I316" s="58">
        <f>I298+I300+I302+I304+I305+I308+I309+I310+I311</f>
        <v>8616319</v>
      </c>
      <c r="J316" s="58">
        <f t="shared" si="77"/>
        <v>190071</v>
      </c>
      <c r="K316" s="58">
        <f t="shared" si="77"/>
        <v>11921623</v>
      </c>
      <c r="L316" s="58">
        <f t="shared" si="77"/>
        <v>301608</v>
      </c>
      <c r="M316" s="58">
        <f>M298+M300+M302+M304+M305+M308+M309+M310+M311</f>
        <v>1370148</v>
      </c>
      <c r="N316" s="58">
        <f t="shared" si="77"/>
        <v>16562</v>
      </c>
      <c r="O316" s="58">
        <f t="shared" si="77"/>
        <v>1688318</v>
      </c>
      <c r="R316" s="62">
        <f>G316+K316+O316</f>
        <v>15438828</v>
      </c>
      <c r="S316" s="62"/>
      <c r="V316" s="62"/>
      <c r="W316" s="62"/>
      <c r="X316" s="62"/>
      <c r="Y316" s="62"/>
      <c r="Z316" s="62"/>
    </row>
    <row r="318" spans="1:34" s="4" customFormat="1" ht="28.5" customHeight="1" x14ac:dyDescent="0.25">
      <c r="A318" s="152" t="s">
        <v>17</v>
      </c>
      <c r="B318" s="152" t="s">
        <v>33</v>
      </c>
      <c r="C318" s="152" t="s">
        <v>86</v>
      </c>
      <c r="D318" s="152" t="s">
        <v>69</v>
      </c>
      <c r="E318" s="152"/>
      <c r="F318" s="152"/>
      <c r="G318" s="152"/>
      <c r="H318" s="152"/>
      <c r="I318" s="152"/>
      <c r="J318" s="152"/>
      <c r="K318" s="152"/>
      <c r="L318" s="152"/>
      <c r="M318" s="152"/>
      <c r="N318" s="152"/>
      <c r="O318" s="152"/>
      <c r="R318" s="61"/>
      <c r="S318" s="61"/>
      <c r="V318" s="61"/>
      <c r="W318" s="61"/>
      <c r="X318" s="61"/>
      <c r="Y318" s="61"/>
      <c r="Z318" s="61"/>
      <c r="AC318" s="95"/>
      <c r="AD318" s="95"/>
      <c r="AE318" s="95"/>
      <c r="AF318" s="95"/>
      <c r="AG318" s="93"/>
      <c r="AH318" s="95"/>
    </row>
    <row r="319" spans="1:34" s="4" customFormat="1" ht="41.25" customHeight="1" x14ac:dyDescent="0.25">
      <c r="A319" s="152"/>
      <c r="B319" s="152"/>
      <c r="C319" s="152"/>
      <c r="D319" s="154" t="s">
        <v>36</v>
      </c>
      <c r="E319" s="154"/>
      <c r="F319" s="154"/>
      <c r="G319" s="154"/>
      <c r="H319" s="155" t="s">
        <v>37</v>
      </c>
      <c r="I319" s="156"/>
      <c r="J319" s="156"/>
      <c r="K319" s="157"/>
      <c r="L319" s="155" t="s">
        <v>38</v>
      </c>
      <c r="M319" s="156"/>
      <c r="N319" s="156"/>
      <c r="O319" s="157"/>
      <c r="R319" s="61"/>
      <c r="S319" s="61"/>
      <c r="V319" s="61"/>
      <c r="W319" s="61"/>
      <c r="X319" s="61"/>
      <c r="Y319" s="61"/>
      <c r="Z319" s="61"/>
      <c r="AC319" s="95"/>
      <c r="AD319" s="95"/>
      <c r="AE319" s="95"/>
      <c r="AF319" s="95"/>
      <c r="AG319" s="93"/>
      <c r="AH319" s="95"/>
    </row>
    <row r="320" spans="1:34" s="4" customFormat="1" ht="59.25" customHeight="1" x14ac:dyDescent="0.25">
      <c r="A320" s="152"/>
      <c r="B320" s="152"/>
      <c r="C320" s="152"/>
      <c r="D320" s="109" t="s">
        <v>66</v>
      </c>
      <c r="E320" s="109" t="s">
        <v>67</v>
      </c>
      <c r="F320" s="109" t="s">
        <v>68</v>
      </c>
      <c r="G320" s="109" t="s">
        <v>70</v>
      </c>
      <c r="H320" s="65" t="s">
        <v>66</v>
      </c>
      <c r="I320" s="65" t="s">
        <v>67</v>
      </c>
      <c r="J320" s="65" t="s">
        <v>68</v>
      </c>
      <c r="K320" s="65" t="s">
        <v>71</v>
      </c>
      <c r="L320" s="65" t="s">
        <v>66</v>
      </c>
      <c r="M320" s="65" t="s">
        <v>67</v>
      </c>
      <c r="N320" s="65" t="s">
        <v>68</v>
      </c>
      <c r="O320" s="65" t="s">
        <v>72</v>
      </c>
      <c r="R320" s="61"/>
      <c r="S320" s="61"/>
      <c r="V320" s="61"/>
      <c r="W320" s="61"/>
      <c r="X320" s="61"/>
      <c r="Y320" s="61"/>
      <c r="Z320" s="61"/>
      <c r="AC320" s="95"/>
      <c r="AD320" s="95"/>
      <c r="AE320" s="95"/>
      <c r="AF320" s="95"/>
      <c r="AG320" s="93"/>
      <c r="AH320" s="95"/>
    </row>
    <row r="321" spans="1:34" s="3" customFormat="1" ht="14.25" customHeight="1" x14ac:dyDescent="0.25">
      <c r="A321" s="53">
        <v>1</v>
      </c>
      <c r="B321" s="53">
        <v>2</v>
      </c>
      <c r="C321" s="53">
        <v>3</v>
      </c>
      <c r="D321" s="53">
        <v>4</v>
      </c>
      <c r="E321" s="53">
        <v>5</v>
      </c>
      <c r="F321" s="53">
        <v>6</v>
      </c>
      <c r="G321" s="53">
        <v>7</v>
      </c>
      <c r="H321" s="66">
        <v>8</v>
      </c>
      <c r="I321" s="66">
        <v>9</v>
      </c>
      <c r="J321" s="66">
        <v>10</v>
      </c>
      <c r="K321" s="66">
        <v>11</v>
      </c>
      <c r="L321" s="66">
        <v>12</v>
      </c>
      <c r="M321" s="66">
        <v>13</v>
      </c>
      <c r="N321" s="66">
        <v>14</v>
      </c>
      <c r="O321" s="66">
        <v>15</v>
      </c>
      <c r="R321" s="61"/>
      <c r="S321" s="61"/>
      <c r="V321" s="61"/>
      <c r="W321" s="61"/>
      <c r="X321" s="61"/>
      <c r="Y321" s="61"/>
      <c r="Z321" s="61"/>
      <c r="AC321" s="95"/>
      <c r="AD321" s="95"/>
      <c r="AE321" s="95"/>
      <c r="AF321" s="95"/>
      <c r="AG321" s="94"/>
      <c r="AH321" s="95"/>
    </row>
    <row r="322" spans="1:34" s="3" customFormat="1" ht="25.5" hidden="1" customHeight="1" x14ac:dyDescent="0.25">
      <c r="A322" s="53" t="s">
        <v>16</v>
      </c>
      <c r="B322" s="54" t="s">
        <v>15</v>
      </c>
      <c r="C322" s="55">
        <f>3916096+525070</f>
        <v>4441166</v>
      </c>
      <c r="D322" s="55">
        <f>116523+15611</f>
        <v>132134</v>
      </c>
      <c r="E322" s="55">
        <f>494505+66315</f>
        <v>560820</v>
      </c>
      <c r="F322" s="55">
        <v>0</v>
      </c>
      <c r="G322" s="55">
        <f>D322+E322+F322</f>
        <v>692954</v>
      </c>
      <c r="H322" s="63">
        <f>491334+65826</f>
        <v>557160</v>
      </c>
      <c r="I322" s="63">
        <f>2085144+279628</f>
        <v>2364772</v>
      </c>
      <c r="J322" s="63">
        <v>0</v>
      </c>
      <c r="K322" s="63">
        <f>H322+I322+J322</f>
        <v>2921932</v>
      </c>
      <c r="L322" s="63">
        <f>138942+18615</f>
        <v>157557</v>
      </c>
      <c r="M322" s="63">
        <f>589648+79075</f>
        <v>668723</v>
      </c>
      <c r="N322" s="63">
        <v>0</v>
      </c>
      <c r="O322" s="63">
        <f>L322+M322+N322</f>
        <v>826280</v>
      </c>
      <c r="R322" s="62">
        <f>G322+K322+O322</f>
        <v>4441166</v>
      </c>
      <c r="S322" s="62"/>
      <c r="V322" s="62"/>
      <c r="W322" s="62"/>
      <c r="X322" s="62"/>
      <c r="Y322" s="62"/>
      <c r="Z322" s="62"/>
      <c r="AC322" s="99"/>
      <c r="AD322" s="99"/>
      <c r="AE322" s="99"/>
      <c r="AF322" s="98"/>
      <c r="AG322" s="92"/>
      <c r="AH322" s="98"/>
    </row>
    <row r="323" spans="1:34" ht="40.5" hidden="1" customHeight="1" x14ac:dyDescent="0.25">
      <c r="A323" s="56" t="s">
        <v>24</v>
      </c>
      <c r="B323" s="54" t="s">
        <v>14</v>
      </c>
      <c r="C323" s="55">
        <v>303177</v>
      </c>
      <c r="D323" s="55">
        <v>35106</v>
      </c>
      <c r="E323" s="55">
        <v>26864</v>
      </c>
      <c r="F323" s="55">
        <v>854</v>
      </c>
      <c r="G323" s="55">
        <f t="shared" ref="G323:G339" si="78">D323+E323+F323</f>
        <v>62824</v>
      </c>
      <c r="H323" s="63">
        <v>103171</v>
      </c>
      <c r="I323" s="63">
        <v>78947</v>
      </c>
      <c r="J323" s="63">
        <v>2511</v>
      </c>
      <c r="K323" s="63">
        <f t="shared" ref="K323:K339" si="79">H323+I323+J323</f>
        <v>184629</v>
      </c>
      <c r="L323" s="63">
        <v>31138</v>
      </c>
      <c r="M323" s="63">
        <v>23828</v>
      </c>
      <c r="N323" s="63">
        <v>758</v>
      </c>
      <c r="O323" s="63">
        <f t="shared" ref="O323:O339" si="80">L323+M323+N323</f>
        <v>55724</v>
      </c>
      <c r="R323" s="62">
        <f t="shared" ref="R323:R340" si="81">G323+K323+O323</f>
        <v>303177</v>
      </c>
      <c r="S323" s="62"/>
      <c r="V323" s="62"/>
      <c r="W323" s="62"/>
      <c r="X323" s="62"/>
      <c r="Y323" s="62"/>
      <c r="Z323" s="62"/>
      <c r="AC323" s="99"/>
      <c r="AF323" s="98"/>
      <c r="AH323" s="98"/>
    </row>
    <row r="324" spans="1:34" ht="34.5" hidden="1" customHeight="1" x14ac:dyDescent="0.25">
      <c r="A324" s="56" t="s">
        <v>24</v>
      </c>
      <c r="B324" s="54" t="s">
        <v>13</v>
      </c>
      <c r="C324" s="55">
        <f>2321762+80694</f>
        <v>2402456</v>
      </c>
      <c r="D324" s="55">
        <v>0</v>
      </c>
      <c r="E324" s="55">
        <f>131598+4574</f>
        <v>136172</v>
      </c>
      <c r="F324" s="55">
        <v>0</v>
      </c>
      <c r="G324" s="55">
        <f t="shared" si="78"/>
        <v>136172</v>
      </c>
      <c r="H324" s="63">
        <v>0</v>
      </c>
      <c r="I324" s="63">
        <f>1950628+67795</f>
        <v>2018423</v>
      </c>
      <c r="J324" s="63">
        <v>0</v>
      </c>
      <c r="K324" s="63">
        <f t="shared" si="79"/>
        <v>2018423</v>
      </c>
      <c r="L324" s="63">
        <v>0</v>
      </c>
      <c r="M324" s="63">
        <f>239536+8325</f>
        <v>247861</v>
      </c>
      <c r="N324" s="63">
        <v>0</v>
      </c>
      <c r="O324" s="63">
        <f t="shared" si="80"/>
        <v>247861</v>
      </c>
      <c r="R324" s="62">
        <f t="shared" si="81"/>
        <v>2402456</v>
      </c>
      <c r="S324" s="62"/>
      <c r="V324" s="62"/>
      <c r="W324" s="62"/>
      <c r="X324" s="62"/>
      <c r="Y324" s="62"/>
      <c r="Z324" s="62"/>
      <c r="AC324" s="99"/>
      <c r="AD324" s="99"/>
      <c r="AE324" s="99"/>
      <c r="AF324" s="98"/>
      <c r="AH324" s="98"/>
    </row>
    <row r="325" spans="1:34" ht="40.5" hidden="1" customHeight="1" x14ac:dyDescent="0.25">
      <c r="A325" s="56" t="s">
        <v>22</v>
      </c>
      <c r="B325" s="54" t="s">
        <v>12</v>
      </c>
      <c r="C325" s="55">
        <v>158288</v>
      </c>
      <c r="D325" s="55">
        <v>18208</v>
      </c>
      <c r="E325" s="55">
        <v>0</v>
      </c>
      <c r="F325" s="55">
        <v>0</v>
      </c>
      <c r="G325" s="55">
        <f t="shared" si="78"/>
        <v>18208</v>
      </c>
      <c r="H325" s="63">
        <v>118418</v>
      </c>
      <c r="I325" s="63">
        <v>0</v>
      </c>
      <c r="J325" s="63">
        <v>0</v>
      </c>
      <c r="K325" s="63">
        <f t="shared" si="79"/>
        <v>118418</v>
      </c>
      <c r="L325" s="63">
        <v>21662</v>
      </c>
      <c r="M325" s="63">
        <v>0</v>
      </c>
      <c r="N325" s="63">
        <v>0</v>
      </c>
      <c r="O325" s="63">
        <f t="shared" si="80"/>
        <v>21662</v>
      </c>
      <c r="R325" s="62">
        <f t="shared" si="81"/>
        <v>158288</v>
      </c>
      <c r="S325" s="62"/>
      <c r="V325" s="62"/>
      <c r="W325" s="62"/>
      <c r="X325" s="62"/>
      <c r="Y325" s="62"/>
      <c r="Z325" s="62"/>
      <c r="AC325" s="99"/>
      <c r="AF325" s="98"/>
      <c r="AH325" s="98"/>
    </row>
    <row r="326" spans="1:34" ht="39.75" hidden="1" customHeight="1" x14ac:dyDescent="0.25">
      <c r="A326" s="56" t="s">
        <v>23</v>
      </c>
      <c r="B326" s="54" t="s">
        <v>11</v>
      </c>
      <c r="C326" s="55">
        <f>144013+38001</f>
        <v>182014</v>
      </c>
      <c r="D326" s="55">
        <f>5634+1487</f>
        <v>7121</v>
      </c>
      <c r="E326" s="55">
        <f>8924+2355</f>
        <v>11279</v>
      </c>
      <c r="F326" s="55">
        <f>3854+1017</f>
        <v>4871</v>
      </c>
      <c r="G326" s="55">
        <f t="shared" si="78"/>
        <v>23271</v>
      </c>
      <c r="H326" s="63">
        <f>29887+7887</f>
        <v>37774</v>
      </c>
      <c r="I326" s="63">
        <f>47341+12490</f>
        <v>59831</v>
      </c>
      <c r="J326" s="63">
        <f>20443+5395</f>
        <v>25838</v>
      </c>
      <c r="K326" s="63">
        <f t="shared" si="79"/>
        <v>123443</v>
      </c>
      <c r="L326" s="63">
        <f>8546+2255</f>
        <v>10801</v>
      </c>
      <c r="M326" s="63">
        <f>13538+3572</f>
        <v>17110</v>
      </c>
      <c r="N326" s="63">
        <f>5846+1543</f>
        <v>7389</v>
      </c>
      <c r="O326" s="63">
        <f t="shared" si="80"/>
        <v>35300</v>
      </c>
      <c r="R326" s="62">
        <f t="shared" si="81"/>
        <v>182014</v>
      </c>
      <c r="S326" s="62"/>
      <c r="V326" s="62"/>
      <c r="W326" s="62"/>
      <c r="X326" s="62"/>
      <c r="Y326" s="62"/>
      <c r="Z326" s="62"/>
      <c r="AC326" s="99"/>
      <c r="AD326" s="99"/>
      <c r="AE326" s="99"/>
      <c r="AF326" s="98"/>
      <c r="AH326" s="98"/>
    </row>
    <row r="327" spans="1:34" ht="28.5" hidden="1" customHeight="1" x14ac:dyDescent="0.25">
      <c r="A327" s="56" t="s">
        <v>20</v>
      </c>
      <c r="B327" s="54" t="s">
        <v>34</v>
      </c>
      <c r="C327" s="55">
        <v>296145</v>
      </c>
      <c r="D327" s="55">
        <v>55432</v>
      </c>
      <c r="E327" s="55">
        <v>0</v>
      </c>
      <c r="F327" s="55">
        <v>0</v>
      </c>
      <c r="G327" s="55">
        <f t="shared" si="78"/>
        <v>55432</v>
      </c>
      <c r="H327" s="63">
        <v>180936</v>
      </c>
      <c r="I327" s="63">
        <v>0</v>
      </c>
      <c r="J327" s="63">
        <v>0</v>
      </c>
      <c r="K327" s="63">
        <f t="shared" si="79"/>
        <v>180936</v>
      </c>
      <c r="L327" s="63">
        <v>59777</v>
      </c>
      <c r="M327" s="63">
        <v>0</v>
      </c>
      <c r="N327" s="63">
        <v>0</v>
      </c>
      <c r="O327" s="63">
        <f t="shared" si="80"/>
        <v>59777</v>
      </c>
      <c r="R327" s="62">
        <f t="shared" si="81"/>
        <v>296145</v>
      </c>
      <c r="S327" s="62"/>
      <c r="V327" s="62"/>
      <c r="W327" s="62"/>
      <c r="X327" s="62"/>
      <c r="Y327" s="62"/>
      <c r="Z327" s="62"/>
      <c r="AC327" s="99"/>
      <c r="AF327" s="98"/>
      <c r="AH327" s="98"/>
    </row>
    <row r="328" spans="1:34" ht="34.5" hidden="1" customHeight="1" x14ac:dyDescent="0.25">
      <c r="A328" s="56" t="s">
        <v>22</v>
      </c>
      <c r="B328" s="54" t="s">
        <v>10</v>
      </c>
      <c r="C328" s="55">
        <f>1058024+7286</f>
        <v>1065310</v>
      </c>
      <c r="D328" s="55">
        <f>22986+158</f>
        <v>23144</v>
      </c>
      <c r="E328" s="55">
        <f>30065+207</f>
        <v>30272</v>
      </c>
      <c r="F328" s="55">
        <f>1405+10</f>
        <v>1415</v>
      </c>
      <c r="G328" s="55">
        <f t="shared" si="78"/>
        <v>54831</v>
      </c>
      <c r="H328" s="63">
        <f>357506+2462</f>
        <v>359968</v>
      </c>
      <c r="I328" s="63">
        <f>467612+3219</f>
        <v>470831</v>
      </c>
      <c r="J328" s="63">
        <f>21852+152</f>
        <v>22004</v>
      </c>
      <c r="K328" s="63">
        <f t="shared" si="79"/>
        <v>852803</v>
      </c>
      <c r="L328" s="63">
        <f>66100+455</f>
        <v>66555</v>
      </c>
      <c r="M328" s="63">
        <f>86458+595</f>
        <v>87053</v>
      </c>
      <c r="N328" s="63">
        <f>4040+28</f>
        <v>4068</v>
      </c>
      <c r="O328" s="63">
        <f t="shared" si="80"/>
        <v>157676</v>
      </c>
      <c r="R328" s="62">
        <f t="shared" si="81"/>
        <v>1065310</v>
      </c>
      <c r="S328" s="62"/>
      <c r="V328" s="62"/>
      <c r="W328" s="62"/>
      <c r="X328" s="62"/>
      <c r="Y328" s="62"/>
      <c r="Z328" s="62"/>
      <c r="AC328" s="99"/>
      <c r="AD328" s="99"/>
      <c r="AE328" s="99"/>
      <c r="AF328" s="98"/>
      <c r="AH328" s="98"/>
    </row>
    <row r="329" spans="1:34" ht="25.5" hidden="1" customHeight="1" x14ac:dyDescent="0.25">
      <c r="A329" s="56" t="s">
        <v>21</v>
      </c>
      <c r="B329" s="54" t="s">
        <v>9</v>
      </c>
      <c r="C329" s="55">
        <f>924607+443518</f>
        <v>1368125</v>
      </c>
      <c r="D329" s="55">
        <f>80840+40074</f>
        <v>120914</v>
      </c>
      <c r="E329" s="55">
        <f>137073+64528</f>
        <v>201601</v>
      </c>
      <c r="F329" s="55">
        <f>4788+2224</f>
        <v>7012</v>
      </c>
      <c r="G329" s="55">
        <f t="shared" si="78"/>
        <v>329527</v>
      </c>
      <c r="H329" s="63">
        <f>252597+125218</f>
        <v>377815</v>
      </c>
      <c r="I329" s="63">
        <f>428301+201626</f>
        <v>629927</v>
      </c>
      <c r="J329" s="63">
        <f>14961+6948</f>
        <v>21909</v>
      </c>
      <c r="K329" s="63">
        <f t="shared" si="79"/>
        <v>1029651</v>
      </c>
      <c r="L329" s="63">
        <f>2195+1088</f>
        <v>3283</v>
      </c>
      <c r="M329" s="63">
        <f>3722+1752</f>
        <v>5474</v>
      </c>
      <c r="N329" s="63">
        <f>130+60</f>
        <v>190</v>
      </c>
      <c r="O329" s="63">
        <f t="shared" si="80"/>
        <v>8947</v>
      </c>
      <c r="R329" s="62">
        <f t="shared" si="81"/>
        <v>1368125</v>
      </c>
      <c r="S329" s="62"/>
      <c r="V329" s="62"/>
      <c r="W329" s="62"/>
      <c r="X329" s="62"/>
      <c r="Y329" s="62"/>
      <c r="Z329" s="62"/>
      <c r="AC329" s="99"/>
      <c r="AD329" s="99"/>
      <c r="AE329" s="99"/>
      <c r="AF329" s="98"/>
      <c r="AH329" s="98"/>
    </row>
    <row r="330" spans="1:34" ht="25.5" hidden="1" customHeight="1" x14ac:dyDescent="0.25">
      <c r="A330" s="56" t="s">
        <v>25</v>
      </c>
      <c r="B330" s="54" t="s">
        <v>8</v>
      </c>
      <c r="C330" s="55">
        <v>1385517</v>
      </c>
      <c r="D330" s="55">
        <v>10037</v>
      </c>
      <c r="E330" s="55">
        <v>44691</v>
      </c>
      <c r="F330" s="55">
        <v>0</v>
      </c>
      <c r="G330" s="55">
        <f t="shared" si="78"/>
        <v>54728</v>
      </c>
      <c r="H330" s="63">
        <v>162901</v>
      </c>
      <c r="I330" s="63">
        <v>725326</v>
      </c>
      <c r="J330" s="63">
        <v>0</v>
      </c>
      <c r="K330" s="63">
        <f t="shared" si="79"/>
        <v>888227</v>
      </c>
      <c r="L330" s="63">
        <v>81166</v>
      </c>
      <c r="M330" s="63">
        <v>361396</v>
      </c>
      <c r="N330" s="63">
        <v>0</v>
      </c>
      <c r="O330" s="63">
        <f t="shared" si="80"/>
        <v>442562</v>
      </c>
      <c r="R330" s="62">
        <f t="shared" si="81"/>
        <v>1385517</v>
      </c>
      <c r="S330" s="62"/>
      <c r="V330" s="62"/>
      <c r="W330" s="62"/>
      <c r="X330" s="62"/>
      <c r="Y330" s="62"/>
      <c r="Z330" s="62"/>
      <c r="AC330" s="99"/>
      <c r="AF330" s="98"/>
      <c r="AH330" s="98"/>
    </row>
    <row r="331" spans="1:34" ht="25.5" hidden="1" customHeight="1" x14ac:dyDescent="0.25">
      <c r="A331" s="56" t="s">
        <v>26</v>
      </c>
      <c r="B331" s="54" t="s">
        <v>7</v>
      </c>
      <c r="C331" s="55">
        <v>917031</v>
      </c>
      <c r="D331" s="55">
        <v>2022</v>
      </c>
      <c r="E331" s="55">
        <v>14732</v>
      </c>
      <c r="F331" s="55">
        <v>0</v>
      </c>
      <c r="G331" s="55">
        <f t="shared" si="78"/>
        <v>16754</v>
      </c>
      <c r="H331" s="63">
        <v>98796</v>
      </c>
      <c r="I331" s="63">
        <v>719728</v>
      </c>
      <c r="J331" s="63">
        <v>0</v>
      </c>
      <c r="K331" s="63">
        <f t="shared" si="79"/>
        <v>818524</v>
      </c>
      <c r="L331" s="63">
        <v>9868</v>
      </c>
      <c r="M331" s="63">
        <v>71885</v>
      </c>
      <c r="N331" s="63">
        <v>0</v>
      </c>
      <c r="O331" s="63">
        <f t="shared" si="80"/>
        <v>81753</v>
      </c>
      <c r="R331" s="62">
        <f t="shared" si="81"/>
        <v>917031</v>
      </c>
      <c r="S331" s="62"/>
      <c r="V331" s="62"/>
      <c r="W331" s="62"/>
      <c r="X331" s="62"/>
      <c r="Y331" s="62"/>
      <c r="Z331" s="62"/>
      <c r="AC331" s="99"/>
      <c r="AF331" s="98"/>
      <c r="AH331" s="98"/>
    </row>
    <row r="332" spans="1:34" ht="25.5" customHeight="1" x14ac:dyDescent="0.25">
      <c r="A332" s="56" t="s">
        <v>20</v>
      </c>
      <c r="B332" s="54" t="s">
        <v>6</v>
      </c>
      <c r="C332" s="55">
        <f>631058+853408</f>
        <v>1484466</v>
      </c>
      <c r="D332" s="55">
        <f>2504+3311</f>
        <v>5815</v>
      </c>
      <c r="E332" s="55">
        <f>1820+2538</f>
        <v>4358</v>
      </c>
      <c r="F332" s="55">
        <f>74+99</f>
        <v>173</v>
      </c>
      <c r="G332" s="55">
        <f t="shared" si="78"/>
        <v>10346</v>
      </c>
      <c r="H332" s="63">
        <f>356281+470986</f>
        <v>827267</v>
      </c>
      <c r="I332" s="63">
        <f>258857+361082</f>
        <v>619939</v>
      </c>
      <c r="J332" s="63">
        <f>10575+14112</f>
        <v>24687</v>
      </c>
      <c r="K332" s="63">
        <f t="shared" si="79"/>
        <v>1471893</v>
      </c>
      <c r="L332" s="63">
        <f>539+713</f>
        <v>1252</v>
      </c>
      <c r="M332" s="63">
        <f>392+546</f>
        <v>938</v>
      </c>
      <c r="N332" s="63">
        <f>16+21</f>
        <v>37</v>
      </c>
      <c r="O332" s="63">
        <f t="shared" si="80"/>
        <v>2227</v>
      </c>
      <c r="R332" s="62">
        <f t="shared" si="81"/>
        <v>1484466</v>
      </c>
      <c r="S332" s="62"/>
      <c r="V332" s="62"/>
      <c r="W332" s="62"/>
      <c r="X332" s="62"/>
      <c r="Y332" s="62"/>
      <c r="Z332" s="62"/>
      <c r="AC332" s="99"/>
      <c r="AD332" s="99"/>
      <c r="AE332" s="99"/>
      <c r="AF332" s="98"/>
      <c r="AH332" s="98"/>
    </row>
    <row r="333" spans="1:34" ht="25.5" hidden="1" customHeight="1" x14ac:dyDescent="0.25">
      <c r="A333" s="56" t="s">
        <v>19</v>
      </c>
      <c r="B333" s="54" t="s">
        <v>5</v>
      </c>
      <c r="C333" s="55">
        <f>728497+913327</f>
        <v>1641824</v>
      </c>
      <c r="D333" s="55">
        <f>20853+32504</f>
        <v>53357</v>
      </c>
      <c r="E333" s="55">
        <f>75077+88715</f>
        <v>163792</v>
      </c>
      <c r="F333" s="55">
        <f>4857+5139</f>
        <v>9996</v>
      </c>
      <c r="G333" s="55">
        <f t="shared" si="78"/>
        <v>227145</v>
      </c>
      <c r="H333" s="63">
        <f>128609+200468</f>
        <v>329077</v>
      </c>
      <c r="I333" s="63">
        <f>463028+547142</f>
        <v>1010170</v>
      </c>
      <c r="J333" s="63">
        <f>29961+31696</f>
        <v>61657</v>
      </c>
      <c r="K333" s="63">
        <f t="shared" si="79"/>
        <v>1400904</v>
      </c>
      <c r="L333" s="63">
        <f>1265+1971</f>
        <v>3236</v>
      </c>
      <c r="M333" s="63">
        <f>4553+5380</f>
        <v>9933</v>
      </c>
      <c r="N333" s="63">
        <f>294+312</f>
        <v>606</v>
      </c>
      <c r="O333" s="63">
        <f t="shared" si="80"/>
        <v>13775</v>
      </c>
      <c r="R333" s="62">
        <f t="shared" si="81"/>
        <v>1641824</v>
      </c>
      <c r="S333" s="62"/>
      <c r="V333" s="62"/>
      <c r="W333" s="62"/>
      <c r="X333" s="62"/>
      <c r="Y333" s="62"/>
      <c r="Z333" s="62"/>
      <c r="AC333" s="99"/>
      <c r="AD333" s="99"/>
      <c r="AE333" s="99"/>
      <c r="AF333" s="98"/>
      <c r="AH333" s="98"/>
    </row>
    <row r="334" spans="1:34" ht="25.5" hidden="1" customHeight="1" x14ac:dyDescent="0.25">
      <c r="A334" s="56" t="s">
        <v>18</v>
      </c>
      <c r="B334" s="54" t="s">
        <v>4</v>
      </c>
      <c r="C334" s="55">
        <f>630166+904986</f>
        <v>1535152</v>
      </c>
      <c r="D334" s="55">
        <f>12220+17549</f>
        <v>29769</v>
      </c>
      <c r="E334" s="55">
        <f>20592+29573</f>
        <v>50165</v>
      </c>
      <c r="F334" s="55">
        <f>852+1222</f>
        <v>2074</v>
      </c>
      <c r="G334" s="55">
        <f t="shared" si="78"/>
        <v>82008</v>
      </c>
      <c r="H334" s="63">
        <f>209377+300682</f>
        <v>510059</v>
      </c>
      <c r="I334" s="63">
        <f>352826+506711</f>
        <v>859537</v>
      </c>
      <c r="J334" s="63">
        <f>14593+20950</f>
        <v>35543</v>
      </c>
      <c r="K334" s="63">
        <f t="shared" si="79"/>
        <v>1405139</v>
      </c>
      <c r="L334" s="63">
        <f>7153+10272</f>
        <v>17425</v>
      </c>
      <c r="M334" s="63">
        <f>12054+17311</f>
        <v>29365</v>
      </c>
      <c r="N334" s="63">
        <f>499+716</f>
        <v>1215</v>
      </c>
      <c r="O334" s="63">
        <f t="shared" si="80"/>
        <v>48005</v>
      </c>
      <c r="R334" s="62">
        <f t="shared" si="81"/>
        <v>1535152</v>
      </c>
      <c r="S334" s="62"/>
      <c r="V334" s="62"/>
      <c r="W334" s="62"/>
      <c r="X334" s="62"/>
      <c r="Y334" s="62"/>
      <c r="Z334" s="62"/>
      <c r="AC334" s="99"/>
      <c r="AD334" s="99"/>
      <c r="AE334" s="99"/>
      <c r="AF334" s="98"/>
      <c r="AH334" s="98"/>
    </row>
    <row r="335" spans="1:34" ht="25.5" hidden="1" customHeight="1" x14ac:dyDescent="0.25">
      <c r="A335" s="56" t="s">
        <v>25</v>
      </c>
      <c r="B335" s="54" t="s">
        <v>3</v>
      </c>
      <c r="C335" s="55">
        <f>912752+170051</f>
        <v>1082803</v>
      </c>
      <c r="D335" s="55">
        <f>43749+8151</f>
        <v>51900</v>
      </c>
      <c r="E335" s="55">
        <f>21538+4012</f>
        <v>25550</v>
      </c>
      <c r="F335" s="55">
        <f>2019+377</f>
        <v>2396</v>
      </c>
      <c r="G335" s="55">
        <f t="shared" si="78"/>
        <v>79846</v>
      </c>
      <c r="H335" s="63">
        <f>488811+91066</f>
        <v>579877</v>
      </c>
      <c r="I335" s="63">
        <f>240645+44829</f>
        <v>285474</v>
      </c>
      <c r="J335" s="63">
        <f>22561+4209</f>
        <v>26770</v>
      </c>
      <c r="K335" s="63">
        <f t="shared" si="79"/>
        <v>892121</v>
      </c>
      <c r="L335" s="63">
        <f>60729+11314</f>
        <v>72043</v>
      </c>
      <c r="M335" s="63">
        <f>29897+5570</f>
        <v>35467</v>
      </c>
      <c r="N335" s="63">
        <f>2803+523</f>
        <v>3326</v>
      </c>
      <c r="O335" s="63">
        <f t="shared" si="80"/>
        <v>110836</v>
      </c>
      <c r="R335" s="62">
        <f t="shared" si="81"/>
        <v>1082803</v>
      </c>
      <c r="S335" s="62"/>
      <c r="V335" s="62"/>
      <c r="W335" s="62"/>
      <c r="X335" s="62"/>
      <c r="Y335" s="62"/>
      <c r="Z335" s="62"/>
      <c r="AC335" s="99"/>
      <c r="AD335" s="99"/>
      <c r="AE335" s="99"/>
      <c r="AF335" s="98"/>
      <c r="AH335" s="98"/>
    </row>
    <row r="336" spans="1:34" ht="54" hidden="1" customHeight="1" x14ac:dyDescent="0.25">
      <c r="A336" s="56" t="s">
        <v>30</v>
      </c>
      <c r="B336" s="54" t="s">
        <v>2</v>
      </c>
      <c r="C336" s="55">
        <v>91145</v>
      </c>
      <c r="D336" s="55">
        <v>2581</v>
      </c>
      <c r="E336" s="55">
        <v>0</v>
      </c>
      <c r="F336" s="55">
        <v>0</v>
      </c>
      <c r="G336" s="55">
        <f t="shared" si="78"/>
        <v>2581</v>
      </c>
      <c r="H336" s="63">
        <v>76304</v>
      </c>
      <c r="I336" s="63">
        <v>0</v>
      </c>
      <c r="J336" s="63">
        <v>0</v>
      </c>
      <c r="K336" s="63">
        <f t="shared" si="79"/>
        <v>76304</v>
      </c>
      <c r="L336" s="63">
        <v>12260</v>
      </c>
      <c r="M336" s="63">
        <v>0</v>
      </c>
      <c r="N336" s="63">
        <v>0</v>
      </c>
      <c r="O336" s="63">
        <f t="shared" si="80"/>
        <v>12260</v>
      </c>
      <c r="R336" s="62">
        <f t="shared" si="81"/>
        <v>91145</v>
      </c>
      <c r="S336" s="62"/>
      <c r="V336" s="62"/>
      <c r="W336" s="62"/>
      <c r="X336" s="62"/>
      <c r="Y336" s="62"/>
      <c r="Z336" s="62"/>
    </row>
    <row r="337" spans="1:34" ht="39.75" hidden="1" customHeight="1" x14ac:dyDescent="0.25">
      <c r="A337" s="56" t="s">
        <v>31</v>
      </c>
      <c r="B337" s="54" t="s">
        <v>1</v>
      </c>
      <c r="C337" s="55">
        <v>69093</v>
      </c>
      <c r="D337" s="55">
        <v>5139</v>
      </c>
      <c r="E337" s="55">
        <v>0</v>
      </c>
      <c r="F337" s="55">
        <v>0</v>
      </c>
      <c r="G337" s="55">
        <f t="shared" si="78"/>
        <v>5139</v>
      </c>
      <c r="H337" s="63">
        <v>61167</v>
      </c>
      <c r="I337" s="63">
        <v>0</v>
      </c>
      <c r="J337" s="63">
        <v>0</v>
      </c>
      <c r="K337" s="63">
        <f t="shared" si="79"/>
        <v>61167</v>
      </c>
      <c r="L337" s="63">
        <v>2787</v>
      </c>
      <c r="M337" s="63">
        <v>0</v>
      </c>
      <c r="N337" s="63">
        <v>0</v>
      </c>
      <c r="O337" s="63">
        <f t="shared" si="80"/>
        <v>2787</v>
      </c>
      <c r="R337" s="62">
        <f t="shared" si="81"/>
        <v>69093</v>
      </c>
      <c r="S337" s="62"/>
      <c r="V337" s="62"/>
      <c r="W337" s="62"/>
      <c r="X337" s="62"/>
      <c r="Y337" s="62"/>
      <c r="Z337" s="62"/>
    </row>
    <row r="338" spans="1:34" ht="33" hidden="1" customHeight="1" x14ac:dyDescent="0.25">
      <c r="A338" s="56" t="s">
        <v>32</v>
      </c>
      <c r="B338" s="54" t="s">
        <v>73</v>
      </c>
      <c r="C338" s="55">
        <v>41245</v>
      </c>
      <c r="D338" s="55">
        <v>8112</v>
      </c>
      <c r="E338" s="55">
        <v>0</v>
      </c>
      <c r="F338" s="55">
        <v>0</v>
      </c>
      <c r="G338" s="55">
        <f t="shared" si="78"/>
        <v>8112</v>
      </c>
      <c r="H338" s="63">
        <v>26556</v>
      </c>
      <c r="I338" s="63">
        <v>0</v>
      </c>
      <c r="J338" s="63">
        <v>0</v>
      </c>
      <c r="K338" s="63">
        <f t="shared" si="79"/>
        <v>26556</v>
      </c>
      <c r="L338" s="63">
        <v>6577</v>
      </c>
      <c r="M338" s="63">
        <v>0</v>
      </c>
      <c r="N338" s="63">
        <v>0</v>
      </c>
      <c r="O338" s="63">
        <f t="shared" si="80"/>
        <v>6577</v>
      </c>
      <c r="R338" s="62">
        <f t="shared" si="81"/>
        <v>41245</v>
      </c>
      <c r="S338" s="62"/>
      <c r="V338" s="62"/>
      <c r="W338" s="62"/>
      <c r="X338" s="62"/>
      <c r="Y338" s="62"/>
      <c r="Z338" s="62"/>
    </row>
    <row r="339" spans="1:34" ht="33" hidden="1" customHeight="1" x14ac:dyDescent="0.25">
      <c r="A339" s="56" t="s">
        <v>90</v>
      </c>
      <c r="B339" s="70" t="s">
        <v>91</v>
      </c>
      <c r="C339" s="55">
        <f>E339+I339+M339</f>
        <v>61662</v>
      </c>
      <c r="D339" s="55">
        <v>0</v>
      </c>
      <c r="E339" s="55">
        <v>10436</v>
      </c>
      <c r="F339" s="55">
        <v>0</v>
      </c>
      <c r="G339" s="55">
        <f t="shared" si="78"/>
        <v>10436</v>
      </c>
      <c r="H339" s="63">
        <v>0</v>
      </c>
      <c r="I339" s="63">
        <v>34306</v>
      </c>
      <c r="J339" s="63">
        <v>0</v>
      </c>
      <c r="K339" s="63">
        <f t="shared" si="79"/>
        <v>34306</v>
      </c>
      <c r="L339" s="63">
        <v>0</v>
      </c>
      <c r="M339" s="63">
        <v>16920</v>
      </c>
      <c r="N339" s="63">
        <v>0</v>
      </c>
      <c r="O339" s="63">
        <f t="shared" si="80"/>
        <v>16920</v>
      </c>
      <c r="R339" s="62">
        <f t="shared" si="81"/>
        <v>61662</v>
      </c>
      <c r="S339" s="62"/>
      <c r="V339" s="62"/>
      <c r="W339" s="62"/>
      <c r="X339" s="62"/>
      <c r="Y339" s="62"/>
      <c r="Z339" s="62"/>
    </row>
    <row r="340" spans="1:34" ht="25.5" hidden="1" customHeight="1" x14ac:dyDescent="0.25">
      <c r="A340" s="57"/>
      <c r="B340" s="57" t="s">
        <v>0</v>
      </c>
      <c r="C340" s="58">
        <f>C322+C324+C326+C328+C329+C332+C333+C334+C335</f>
        <v>15203316</v>
      </c>
      <c r="D340" s="58">
        <f t="shared" ref="D340:O340" si="82">D322+D324+D326+D328+D329+D332+D333+D334+D335</f>
        <v>424154</v>
      </c>
      <c r="E340" s="58">
        <f>E322+E324+E326+E328+E329+E332+E333+E334+E335</f>
        <v>1184009</v>
      </c>
      <c r="F340" s="58">
        <f t="shared" si="82"/>
        <v>27937</v>
      </c>
      <c r="G340" s="58">
        <f t="shared" si="82"/>
        <v>1636100</v>
      </c>
      <c r="H340" s="58">
        <f>H322+H324+H326+H328+H329+H332+H333+H334+H335</f>
        <v>3578997</v>
      </c>
      <c r="I340" s="58">
        <f t="shared" si="82"/>
        <v>8318904</v>
      </c>
      <c r="J340" s="58">
        <f t="shared" si="82"/>
        <v>218408</v>
      </c>
      <c r="K340" s="58">
        <f t="shared" si="82"/>
        <v>12116309</v>
      </c>
      <c r="L340" s="58">
        <f>L322+L324+L326+L328+L329+L332+L333+L334+L335</f>
        <v>332152</v>
      </c>
      <c r="M340" s="58">
        <f t="shared" si="82"/>
        <v>1101924</v>
      </c>
      <c r="N340" s="58">
        <f t="shared" si="82"/>
        <v>16831</v>
      </c>
      <c r="O340" s="58">
        <f t="shared" si="82"/>
        <v>1450907</v>
      </c>
      <c r="R340" s="62">
        <f t="shared" si="81"/>
        <v>15203316</v>
      </c>
      <c r="S340" s="62"/>
      <c r="V340" s="62"/>
      <c r="W340" s="62"/>
      <c r="X340" s="62"/>
      <c r="Y340" s="62"/>
      <c r="Z340" s="62"/>
    </row>
    <row r="341" spans="1:34" hidden="1" x14ac:dyDescent="0.25"/>
    <row r="342" spans="1:34" x14ac:dyDescent="0.25">
      <c r="A342" s="158"/>
      <c r="B342" s="158"/>
      <c r="C342" s="158"/>
      <c r="D342" s="158"/>
      <c r="E342" s="158"/>
      <c r="F342" s="158"/>
      <c r="G342" s="158"/>
      <c r="H342" s="158"/>
      <c r="I342" s="158"/>
      <c r="J342" s="158"/>
      <c r="K342" s="158"/>
      <c r="L342" s="158"/>
      <c r="M342" s="158"/>
      <c r="N342" s="158"/>
      <c r="O342" s="158"/>
    </row>
    <row r="343" spans="1:34" s="4" customFormat="1" ht="28.5" customHeight="1" x14ac:dyDescent="0.25">
      <c r="A343" s="152" t="s">
        <v>17</v>
      </c>
      <c r="B343" s="152" t="s">
        <v>33</v>
      </c>
      <c r="C343" s="152" t="s">
        <v>87</v>
      </c>
      <c r="D343" s="152" t="s">
        <v>69</v>
      </c>
      <c r="E343" s="152"/>
      <c r="F343" s="152"/>
      <c r="G343" s="152"/>
      <c r="H343" s="152"/>
      <c r="I343" s="152"/>
      <c r="J343" s="152"/>
      <c r="K343" s="152"/>
      <c r="L343" s="152"/>
      <c r="M343" s="152"/>
      <c r="N343" s="152"/>
      <c r="O343" s="152"/>
      <c r="R343" s="61"/>
      <c r="S343" s="61"/>
      <c r="V343" s="61"/>
      <c r="W343" s="61"/>
      <c r="X343" s="61"/>
      <c r="Y343" s="61"/>
      <c r="Z343" s="61"/>
      <c r="AC343" s="95"/>
      <c r="AD343" s="95"/>
      <c r="AE343" s="95"/>
      <c r="AF343" s="95"/>
      <c r="AG343" s="93"/>
      <c r="AH343" s="95"/>
    </row>
    <row r="344" spans="1:34" s="4" customFormat="1" ht="41.25" customHeight="1" x14ac:dyDescent="0.25">
      <c r="A344" s="152"/>
      <c r="B344" s="152"/>
      <c r="C344" s="152"/>
      <c r="D344" s="154" t="s">
        <v>36</v>
      </c>
      <c r="E344" s="154"/>
      <c r="F344" s="154"/>
      <c r="G344" s="154"/>
      <c r="H344" s="155" t="s">
        <v>37</v>
      </c>
      <c r="I344" s="156"/>
      <c r="J344" s="156"/>
      <c r="K344" s="157"/>
      <c r="L344" s="155" t="s">
        <v>38</v>
      </c>
      <c r="M344" s="156"/>
      <c r="N344" s="156"/>
      <c r="O344" s="157"/>
      <c r="R344" s="61"/>
      <c r="S344" s="61"/>
      <c r="V344" s="61"/>
      <c r="W344" s="61"/>
      <c r="X344" s="61"/>
      <c r="Y344" s="61"/>
      <c r="Z344" s="61"/>
      <c r="AC344" s="95"/>
      <c r="AD344" s="95"/>
      <c r="AE344" s="95"/>
      <c r="AF344" s="95"/>
      <c r="AG344" s="93"/>
      <c r="AH344" s="95"/>
    </row>
    <row r="345" spans="1:34" s="4" customFormat="1" ht="59.25" customHeight="1" x14ac:dyDescent="0.25">
      <c r="A345" s="152"/>
      <c r="B345" s="152"/>
      <c r="C345" s="152"/>
      <c r="D345" s="109" t="s">
        <v>66</v>
      </c>
      <c r="E345" s="109" t="s">
        <v>67</v>
      </c>
      <c r="F345" s="109" t="s">
        <v>68</v>
      </c>
      <c r="G345" s="109" t="s">
        <v>70</v>
      </c>
      <c r="H345" s="65" t="s">
        <v>66</v>
      </c>
      <c r="I345" s="65" t="s">
        <v>67</v>
      </c>
      <c r="J345" s="65" t="s">
        <v>68</v>
      </c>
      <c r="K345" s="65" t="s">
        <v>71</v>
      </c>
      <c r="L345" s="65" t="s">
        <v>66</v>
      </c>
      <c r="M345" s="65" t="s">
        <v>67</v>
      </c>
      <c r="N345" s="65" t="s">
        <v>68</v>
      </c>
      <c r="O345" s="65" t="s">
        <v>72</v>
      </c>
      <c r="R345" s="61"/>
      <c r="S345" s="61"/>
      <c r="V345" s="61"/>
      <c r="W345" s="61"/>
      <c r="X345" s="61"/>
      <c r="Y345" s="61"/>
      <c r="Z345" s="61"/>
      <c r="AC345" s="95"/>
      <c r="AD345" s="95"/>
      <c r="AE345" s="95"/>
      <c r="AF345" s="95"/>
      <c r="AG345" s="93"/>
      <c r="AH345" s="95"/>
    </row>
    <row r="346" spans="1:34" s="3" customFormat="1" ht="14.25" customHeight="1" x14ac:dyDescent="0.25">
      <c r="A346" s="53">
        <v>1</v>
      </c>
      <c r="B346" s="53">
        <v>2</v>
      </c>
      <c r="C346" s="53">
        <v>3</v>
      </c>
      <c r="D346" s="53">
        <v>4</v>
      </c>
      <c r="E346" s="53">
        <v>5</v>
      </c>
      <c r="F346" s="53">
        <v>6</v>
      </c>
      <c r="G346" s="53">
        <v>7</v>
      </c>
      <c r="H346" s="66">
        <v>8</v>
      </c>
      <c r="I346" s="66">
        <v>9</v>
      </c>
      <c r="J346" s="66">
        <v>10</v>
      </c>
      <c r="K346" s="66">
        <v>11</v>
      </c>
      <c r="L346" s="66">
        <v>12</v>
      </c>
      <c r="M346" s="66">
        <v>13</v>
      </c>
      <c r="N346" s="66">
        <v>14</v>
      </c>
      <c r="O346" s="66">
        <v>15</v>
      </c>
      <c r="R346" s="61"/>
      <c r="S346" s="61"/>
      <c r="V346" s="61"/>
      <c r="W346" s="61"/>
      <c r="X346" s="61"/>
      <c r="Y346" s="61"/>
      <c r="Z346" s="61"/>
      <c r="AC346" s="95"/>
      <c r="AD346" s="95"/>
      <c r="AE346" s="95"/>
      <c r="AF346" s="95"/>
      <c r="AG346" s="94"/>
      <c r="AH346" s="95"/>
    </row>
    <row r="347" spans="1:34" s="3" customFormat="1" ht="25.5" hidden="1" customHeight="1" x14ac:dyDescent="0.25">
      <c r="A347" s="53" t="s">
        <v>16</v>
      </c>
      <c r="B347" s="54" t="s">
        <v>15</v>
      </c>
      <c r="C347" s="55">
        <f>4366330+585632</f>
        <v>4951962</v>
      </c>
      <c r="D347" s="55">
        <f>129851+17407</f>
        <v>147258</v>
      </c>
      <c r="E347" s="55">
        <f>551427+73969</f>
        <v>625396</v>
      </c>
      <c r="F347" s="55">
        <v>0</v>
      </c>
      <c r="G347" s="55">
        <f>D347+E347+F347</f>
        <v>772654</v>
      </c>
      <c r="H347" s="63">
        <f>547536+73400</f>
        <v>620936</v>
      </c>
      <c r="I347" s="63">
        <f>2325160+311899</f>
        <v>2637059</v>
      </c>
      <c r="J347" s="63">
        <v>0</v>
      </c>
      <c r="K347" s="63">
        <f>H347+I347+J347</f>
        <v>3257995</v>
      </c>
      <c r="L347" s="63">
        <f>154835+20757</f>
        <v>175592</v>
      </c>
      <c r="M347" s="63">
        <f>657521+88200</f>
        <v>745721</v>
      </c>
      <c r="N347" s="63">
        <v>0</v>
      </c>
      <c r="O347" s="63">
        <f>L347+M347+N347</f>
        <v>921313</v>
      </c>
      <c r="R347" s="62">
        <f>G347+K347+O347</f>
        <v>4951962</v>
      </c>
      <c r="S347" s="62"/>
      <c r="V347" s="62"/>
      <c r="W347" s="62"/>
      <c r="X347" s="62"/>
      <c r="Y347" s="62"/>
      <c r="Z347" s="62"/>
      <c r="AC347" s="99"/>
      <c r="AD347" s="99"/>
      <c r="AE347" s="99"/>
      <c r="AF347" s="98"/>
      <c r="AG347" s="92"/>
      <c r="AH347" s="98"/>
    </row>
    <row r="348" spans="1:34" ht="40.5" hidden="1" customHeight="1" x14ac:dyDescent="0.25">
      <c r="A348" s="56" t="s">
        <v>24</v>
      </c>
      <c r="B348" s="54" t="s">
        <v>14</v>
      </c>
      <c r="C348" s="55">
        <v>309054</v>
      </c>
      <c r="D348" s="55">
        <v>36331</v>
      </c>
      <c r="E348" s="55">
        <v>26859</v>
      </c>
      <c r="F348" s="55">
        <v>852</v>
      </c>
      <c r="G348" s="55">
        <f t="shared" ref="G348:G364" si="83">D348+E348+F348</f>
        <v>64042</v>
      </c>
      <c r="H348" s="63">
        <v>106770</v>
      </c>
      <c r="I348" s="63">
        <v>78935</v>
      </c>
      <c r="J348" s="63">
        <v>2503</v>
      </c>
      <c r="K348" s="63">
        <f t="shared" ref="K348:K364" si="84">H348+I348+J348</f>
        <v>188208</v>
      </c>
      <c r="L348" s="63">
        <v>32225</v>
      </c>
      <c r="M348" s="63">
        <v>23824</v>
      </c>
      <c r="N348" s="63">
        <v>755</v>
      </c>
      <c r="O348" s="63">
        <f t="shared" ref="O348:O364" si="85">L348+M348+N348</f>
        <v>56804</v>
      </c>
      <c r="R348" s="62">
        <f t="shared" ref="R348:R365" si="86">G348+K348+O348</f>
        <v>309054</v>
      </c>
      <c r="S348" s="62"/>
      <c r="V348" s="62"/>
      <c r="W348" s="62"/>
      <c r="X348" s="62"/>
      <c r="Y348" s="62"/>
      <c r="Z348" s="62"/>
      <c r="AC348" s="99"/>
      <c r="AF348" s="98"/>
      <c r="AH348" s="98"/>
    </row>
    <row r="349" spans="1:34" ht="34.5" hidden="1" customHeight="1" x14ac:dyDescent="0.25">
      <c r="A349" s="56" t="s">
        <v>24</v>
      </c>
      <c r="B349" s="54" t="s">
        <v>13</v>
      </c>
      <c r="C349" s="55">
        <f>2139598+74369</f>
        <v>2213967</v>
      </c>
      <c r="D349" s="55">
        <v>0</v>
      </c>
      <c r="E349" s="55">
        <f>121273+4215</f>
        <v>125488</v>
      </c>
      <c r="F349" s="55">
        <v>0</v>
      </c>
      <c r="G349" s="55">
        <f t="shared" si="83"/>
        <v>125488</v>
      </c>
      <c r="H349" s="63">
        <v>0</v>
      </c>
      <c r="I349" s="63">
        <f>1797583+62481</f>
        <v>1860064</v>
      </c>
      <c r="J349" s="63">
        <v>0</v>
      </c>
      <c r="K349" s="63">
        <f t="shared" si="84"/>
        <v>1860064</v>
      </c>
      <c r="L349" s="63">
        <v>0</v>
      </c>
      <c r="M349" s="63">
        <f>220742+7673</f>
        <v>228415</v>
      </c>
      <c r="N349" s="63">
        <v>0</v>
      </c>
      <c r="O349" s="63">
        <f t="shared" si="85"/>
        <v>228415</v>
      </c>
      <c r="R349" s="62">
        <f t="shared" si="86"/>
        <v>2213967</v>
      </c>
      <c r="S349" s="62"/>
      <c r="V349" s="62"/>
      <c r="W349" s="62"/>
      <c r="X349" s="62"/>
      <c r="Y349" s="62"/>
      <c r="Z349" s="62"/>
      <c r="AC349" s="99"/>
      <c r="AD349" s="99"/>
      <c r="AE349" s="99"/>
      <c r="AF349" s="98"/>
      <c r="AH349" s="98"/>
    </row>
    <row r="350" spans="1:34" ht="40.5" hidden="1" customHeight="1" x14ac:dyDescent="0.25">
      <c r="A350" s="56" t="s">
        <v>22</v>
      </c>
      <c r="B350" s="54" t="s">
        <v>12</v>
      </c>
      <c r="C350" s="55">
        <v>214278</v>
      </c>
      <c r="D350" s="55">
        <v>24648</v>
      </c>
      <c r="E350" s="55">
        <v>0</v>
      </c>
      <c r="F350" s="55">
        <v>0</v>
      </c>
      <c r="G350" s="55">
        <f t="shared" si="83"/>
        <v>24648</v>
      </c>
      <c r="H350" s="63">
        <v>160306</v>
      </c>
      <c r="I350" s="63">
        <v>0</v>
      </c>
      <c r="J350" s="63">
        <v>0</v>
      </c>
      <c r="K350" s="63">
        <f t="shared" si="84"/>
        <v>160306</v>
      </c>
      <c r="L350" s="63">
        <v>29324</v>
      </c>
      <c r="M350" s="63">
        <v>0</v>
      </c>
      <c r="N350" s="63">
        <v>0</v>
      </c>
      <c r="O350" s="63">
        <f t="shared" si="85"/>
        <v>29324</v>
      </c>
      <c r="R350" s="62">
        <f t="shared" si="86"/>
        <v>214278</v>
      </c>
      <c r="S350" s="62"/>
      <c r="V350" s="62"/>
      <c r="W350" s="62"/>
      <c r="X350" s="62"/>
      <c r="Y350" s="62"/>
      <c r="Z350" s="62"/>
      <c r="AC350" s="99"/>
      <c r="AF350" s="98"/>
      <c r="AH350" s="98"/>
    </row>
    <row r="351" spans="1:34" ht="39.75" hidden="1" customHeight="1" x14ac:dyDescent="0.25">
      <c r="A351" s="56" t="s">
        <v>23</v>
      </c>
      <c r="B351" s="54" t="s">
        <v>11</v>
      </c>
      <c r="C351" s="55">
        <f>252283+66573</f>
        <v>318856</v>
      </c>
      <c r="D351" s="55">
        <f>9763+2577</f>
        <v>12340</v>
      </c>
      <c r="E351" s="55">
        <f>15653+4130</f>
        <v>19783</v>
      </c>
      <c r="F351" s="55">
        <f>6838+1804</f>
        <v>8642</v>
      </c>
      <c r="G351" s="55">
        <f t="shared" si="83"/>
        <v>40765</v>
      </c>
      <c r="H351" s="63">
        <f>51792+13671</f>
        <v>65463</v>
      </c>
      <c r="I351" s="63">
        <f>83036+21908</f>
        <v>104944</v>
      </c>
      <c r="J351" s="63">
        <f>36273+9572</f>
        <v>45845</v>
      </c>
      <c r="K351" s="63">
        <f t="shared" si="84"/>
        <v>216252</v>
      </c>
      <c r="L351" s="63">
        <f>14810+3909</f>
        <v>18719</v>
      </c>
      <c r="M351" s="63">
        <f>23745+6265</f>
        <v>30010</v>
      </c>
      <c r="N351" s="63">
        <f>10373+2737</f>
        <v>13110</v>
      </c>
      <c r="O351" s="63">
        <f t="shared" si="85"/>
        <v>61839</v>
      </c>
      <c r="R351" s="62">
        <f t="shared" si="86"/>
        <v>318856</v>
      </c>
      <c r="S351" s="62"/>
      <c r="V351" s="62"/>
      <c r="W351" s="62"/>
      <c r="X351" s="62"/>
      <c r="Y351" s="62"/>
      <c r="Z351" s="62"/>
      <c r="AC351" s="99"/>
      <c r="AD351" s="99"/>
      <c r="AE351" s="99"/>
      <c r="AF351" s="98"/>
      <c r="AH351" s="98"/>
    </row>
    <row r="352" spans="1:34" ht="28.5" hidden="1" customHeight="1" x14ac:dyDescent="0.25">
      <c r="A352" s="56" t="s">
        <v>20</v>
      </c>
      <c r="B352" s="54" t="s">
        <v>34</v>
      </c>
      <c r="C352" s="55">
        <v>346334</v>
      </c>
      <c r="D352" s="55">
        <v>64827</v>
      </c>
      <c r="E352" s="55">
        <v>0</v>
      </c>
      <c r="F352" s="55">
        <v>0</v>
      </c>
      <c r="G352" s="55">
        <f t="shared" si="83"/>
        <v>64827</v>
      </c>
      <c r="H352" s="63">
        <v>211600</v>
      </c>
      <c r="I352" s="63">
        <v>0</v>
      </c>
      <c r="J352" s="63">
        <v>0</v>
      </c>
      <c r="K352" s="63">
        <f t="shared" si="84"/>
        <v>211600</v>
      </c>
      <c r="L352" s="63">
        <v>69907</v>
      </c>
      <c r="M352" s="63">
        <v>0</v>
      </c>
      <c r="N352" s="63">
        <v>0</v>
      </c>
      <c r="O352" s="63">
        <f t="shared" si="85"/>
        <v>69907</v>
      </c>
      <c r="R352" s="62">
        <f t="shared" si="86"/>
        <v>346334</v>
      </c>
      <c r="S352" s="62"/>
      <c r="V352" s="62"/>
      <c r="W352" s="62"/>
      <c r="X352" s="62"/>
      <c r="Y352" s="62"/>
      <c r="Z352" s="62"/>
      <c r="AC352" s="99"/>
      <c r="AF352" s="98"/>
      <c r="AH352" s="98"/>
    </row>
    <row r="353" spans="1:34" ht="34.5" hidden="1" customHeight="1" x14ac:dyDescent="0.25">
      <c r="A353" s="56" t="s">
        <v>22</v>
      </c>
      <c r="B353" s="54" t="s">
        <v>10</v>
      </c>
      <c r="C353" s="55">
        <f>1246196+8580</f>
        <v>1254776</v>
      </c>
      <c r="D353" s="55">
        <f>27068+186</f>
        <v>27254</v>
      </c>
      <c r="E353" s="55">
        <f>35413+244</f>
        <v>35657</v>
      </c>
      <c r="F353" s="55">
        <f>1661+11</f>
        <v>1672</v>
      </c>
      <c r="G353" s="55">
        <f t="shared" si="83"/>
        <v>64583</v>
      </c>
      <c r="H353" s="63">
        <f>420989+2899</f>
        <v>423888</v>
      </c>
      <c r="I353" s="63">
        <f>550777+3792</f>
        <v>554569</v>
      </c>
      <c r="J353" s="63">
        <f>25838+178</f>
        <v>26016</v>
      </c>
      <c r="K353" s="63">
        <f t="shared" si="84"/>
        <v>1004473</v>
      </c>
      <c r="L353" s="63">
        <f>77838+536</f>
        <v>78374</v>
      </c>
      <c r="M353" s="63">
        <f>101835+701</f>
        <v>102536</v>
      </c>
      <c r="N353" s="63">
        <f>4777+33</f>
        <v>4810</v>
      </c>
      <c r="O353" s="63">
        <f t="shared" si="85"/>
        <v>185720</v>
      </c>
      <c r="R353" s="62">
        <f t="shared" si="86"/>
        <v>1254776</v>
      </c>
      <c r="S353" s="62"/>
      <c r="V353" s="62"/>
      <c r="W353" s="62"/>
      <c r="X353" s="62"/>
      <c r="Y353" s="62"/>
      <c r="Z353" s="62"/>
      <c r="AC353" s="99"/>
      <c r="AD353" s="99"/>
      <c r="AE353" s="99"/>
      <c r="AF353" s="98"/>
      <c r="AH353" s="98"/>
    </row>
    <row r="354" spans="1:34" ht="25.5" hidden="1" customHeight="1" x14ac:dyDescent="0.25">
      <c r="A354" s="56" t="s">
        <v>21</v>
      </c>
      <c r="B354" s="54" t="s">
        <v>9</v>
      </c>
      <c r="C354" s="55">
        <f>924607+443399</f>
        <v>1368006</v>
      </c>
      <c r="D354" s="55">
        <f>80863+40074</f>
        <v>120937</v>
      </c>
      <c r="E354" s="55">
        <f>137072+64500</f>
        <v>201572</v>
      </c>
      <c r="F354" s="55">
        <f>4766+2224</f>
        <v>6990</v>
      </c>
      <c r="G354" s="55">
        <f t="shared" si="83"/>
        <v>329499</v>
      </c>
      <c r="H354" s="63">
        <f>252667+125218</f>
        <v>377885</v>
      </c>
      <c r="I354" s="63">
        <f>428301+201537</f>
        <v>629838</v>
      </c>
      <c r="J354" s="63">
        <f>14891+6947</f>
        <v>21838</v>
      </c>
      <c r="K354" s="63">
        <f t="shared" si="84"/>
        <v>1029561</v>
      </c>
      <c r="L354" s="63">
        <f>2196+1088</f>
        <v>3284</v>
      </c>
      <c r="M354" s="63">
        <f>3722+1751</f>
        <v>5473</v>
      </c>
      <c r="N354" s="63">
        <f>129+60</f>
        <v>189</v>
      </c>
      <c r="O354" s="63">
        <f t="shared" si="85"/>
        <v>8946</v>
      </c>
      <c r="R354" s="62">
        <f t="shared" si="86"/>
        <v>1368006</v>
      </c>
      <c r="S354" s="62"/>
      <c r="V354" s="62"/>
      <c r="W354" s="62"/>
      <c r="X354" s="62"/>
      <c r="Y354" s="62"/>
      <c r="Z354" s="62"/>
      <c r="AC354" s="99"/>
      <c r="AD354" s="99"/>
      <c r="AE354" s="99"/>
      <c r="AF354" s="98"/>
      <c r="AH354" s="98"/>
    </row>
    <row r="355" spans="1:34" ht="25.5" hidden="1" customHeight="1" x14ac:dyDescent="0.25">
      <c r="A355" s="56" t="s">
        <v>25</v>
      </c>
      <c r="B355" s="54" t="s">
        <v>8</v>
      </c>
      <c r="C355" s="55">
        <v>1644657</v>
      </c>
      <c r="D355" s="55">
        <v>10706</v>
      </c>
      <c r="E355" s="55">
        <v>54258</v>
      </c>
      <c r="F355" s="55">
        <v>0</v>
      </c>
      <c r="G355" s="55">
        <f t="shared" si="83"/>
        <v>64964</v>
      </c>
      <c r="H355" s="63">
        <v>173758</v>
      </c>
      <c r="I355" s="63">
        <v>880599</v>
      </c>
      <c r="J355" s="63">
        <v>0</v>
      </c>
      <c r="K355" s="63">
        <f t="shared" si="84"/>
        <v>1054357</v>
      </c>
      <c r="L355" s="63">
        <v>86575</v>
      </c>
      <c r="M355" s="63">
        <v>438761</v>
      </c>
      <c r="N355" s="63">
        <v>0</v>
      </c>
      <c r="O355" s="63">
        <f t="shared" si="85"/>
        <v>525336</v>
      </c>
      <c r="R355" s="62">
        <f t="shared" si="86"/>
        <v>1644657</v>
      </c>
      <c r="S355" s="62"/>
      <c r="V355" s="62"/>
      <c r="W355" s="62"/>
      <c r="X355" s="62"/>
      <c r="Y355" s="62"/>
      <c r="Z355" s="62"/>
      <c r="AC355" s="99"/>
      <c r="AF355" s="98"/>
      <c r="AH355" s="98"/>
    </row>
    <row r="356" spans="1:34" ht="25.5" hidden="1" customHeight="1" x14ac:dyDescent="0.25">
      <c r="A356" s="56" t="s">
        <v>26</v>
      </c>
      <c r="B356" s="54" t="s">
        <v>7</v>
      </c>
      <c r="C356" s="55">
        <v>1149417</v>
      </c>
      <c r="D356" s="55">
        <v>2409</v>
      </c>
      <c r="E356" s="55">
        <v>18591</v>
      </c>
      <c r="F356" s="55">
        <v>0</v>
      </c>
      <c r="G356" s="55">
        <f t="shared" si="83"/>
        <v>21000</v>
      </c>
      <c r="H356" s="63">
        <v>117676</v>
      </c>
      <c r="I356" s="63">
        <v>908270</v>
      </c>
      <c r="J356" s="63">
        <v>0</v>
      </c>
      <c r="K356" s="63">
        <f t="shared" si="84"/>
        <v>1025946</v>
      </c>
      <c r="L356" s="63">
        <v>11754</v>
      </c>
      <c r="M356" s="63">
        <v>90717</v>
      </c>
      <c r="N356" s="63">
        <v>0</v>
      </c>
      <c r="O356" s="63">
        <f t="shared" si="85"/>
        <v>102471</v>
      </c>
      <c r="R356" s="62">
        <f t="shared" si="86"/>
        <v>1149417</v>
      </c>
      <c r="S356" s="62"/>
      <c r="V356" s="62"/>
      <c r="W356" s="62"/>
      <c r="X356" s="62"/>
      <c r="Y356" s="62"/>
      <c r="Z356" s="62"/>
      <c r="AC356" s="99"/>
      <c r="AF356" s="98"/>
      <c r="AH356" s="98"/>
    </row>
    <row r="357" spans="1:34" ht="25.5" customHeight="1" x14ac:dyDescent="0.25">
      <c r="A357" s="56" t="s">
        <v>20</v>
      </c>
      <c r="B357" s="54" t="s">
        <v>6</v>
      </c>
      <c r="C357" s="55">
        <f>773515+1046628-773501</f>
        <v>1046642</v>
      </c>
      <c r="D357" s="55">
        <f>3064+4054-2931</f>
        <v>4187</v>
      </c>
      <c r="E357" s="55">
        <f>2235+3119-2388</f>
        <v>2966</v>
      </c>
      <c r="F357" s="55">
        <f>92+123-75</f>
        <v>140</v>
      </c>
      <c r="G357" s="55">
        <f t="shared" si="83"/>
        <v>7293</v>
      </c>
      <c r="H357" s="63">
        <f>435866+576603-416915</f>
        <v>595554</v>
      </c>
      <c r="I357" s="63">
        <f>317983+443644-339528</f>
        <v>422099</v>
      </c>
      <c r="J357" s="63">
        <f>13115+17516-10506</f>
        <v>20125</v>
      </c>
      <c r="K357" s="63">
        <f t="shared" si="84"/>
        <v>1037778</v>
      </c>
      <c r="L357" s="63">
        <f>659+872-630</f>
        <v>901</v>
      </c>
      <c r="M357" s="63">
        <f>481+671-513</f>
        <v>639</v>
      </c>
      <c r="N357" s="63">
        <f>20+26-15</f>
        <v>31</v>
      </c>
      <c r="O357" s="63">
        <f t="shared" si="85"/>
        <v>1571</v>
      </c>
      <c r="R357" s="62">
        <f t="shared" si="86"/>
        <v>1046642</v>
      </c>
      <c r="S357" s="62"/>
      <c r="V357" s="62"/>
      <c r="W357" s="62"/>
      <c r="X357" s="62"/>
      <c r="Y357" s="62"/>
      <c r="Z357" s="62"/>
      <c r="AC357" s="99"/>
      <c r="AD357" s="99"/>
      <c r="AE357" s="99"/>
      <c r="AF357" s="98"/>
      <c r="AH357" s="98"/>
    </row>
    <row r="358" spans="1:34" ht="25.5" hidden="1" customHeight="1" x14ac:dyDescent="0.25">
      <c r="A358" s="56" t="s">
        <v>19</v>
      </c>
      <c r="B358" s="54" t="s">
        <v>5</v>
      </c>
      <c r="C358" s="55">
        <f>728498+912884</f>
        <v>1641382</v>
      </c>
      <c r="D358" s="55">
        <f>20853+32487</f>
        <v>53340</v>
      </c>
      <c r="E358" s="55">
        <f>75077+88673</f>
        <v>163750</v>
      </c>
      <c r="F358" s="55">
        <f>4858+5137</f>
        <v>9995</v>
      </c>
      <c r="G358" s="55">
        <f t="shared" si="83"/>
        <v>227085</v>
      </c>
      <c r="H358" s="63">
        <f>128609+200363</f>
        <v>328972</v>
      </c>
      <c r="I358" s="63">
        <f>463028+546883</f>
        <v>1009911</v>
      </c>
      <c r="J358" s="63">
        <f>29961+31682</f>
        <v>61643</v>
      </c>
      <c r="K358" s="63">
        <f t="shared" si="84"/>
        <v>1400526</v>
      </c>
      <c r="L358" s="63">
        <f>1264+1970</f>
        <v>3234</v>
      </c>
      <c r="M358" s="63">
        <f>4553+5377</f>
        <v>9930</v>
      </c>
      <c r="N358" s="63">
        <f>295+312</f>
        <v>607</v>
      </c>
      <c r="O358" s="63">
        <f t="shared" si="85"/>
        <v>13771</v>
      </c>
      <c r="R358" s="62">
        <f t="shared" si="86"/>
        <v>1641382</v>
      </c>
      <c r="S358" s="62"/>
      <c r="V358" s="62"/>
      <c r="W358" s="62"/>
      <c r="X358" s="62"/>
      <c r="Y358" s="62"/>
      <c r="Z358" s="62"/>
      <c r="AC358" s="99"/>
      <c r="AD358" s="99"/>
      <c r="AE358" s="99"/>
      <c r="AF358" s="98"/>
      <c r="AH358" s="98"/>
    </row>
    <row r="359" spans="1:34" ht="25.5" hidden="1" customHeight="1" x14ac:dyDescent="0.25">
      <c r="A359" s="56" t="s">
        <v>18</v>
      </c>
      <c r="B359" s="54" t="s">
        <v>4</v>
      </c>
      <c r="C359" s="55">
        <f>754424+1082945</f>
        <v>1837369</v>
      </c>
      <c r="D359" s="55">
        <f>14629+21000</f>
        <v>35629</v>
      </c>
      <c r="E359" s="55">
        <f>24652+35388</f>
        <v>60040</v>
      </c>
      <c r="F359" s="55">
        <f>1020+1463</f>
        <v>2483</v>
      </c>
      <c r="G359" s="55">
        <f t="shared" si="83"/>
        <v>98152</v>
      </c>
      <c r="H359" s="63">
        <f>250663+359810</f>
        <v>610473</v>
      </c>
      <c r="I359" s="63">
        <f>422398+606351</f>
        <v>1028749</v>
      </c>
      <c r="J359" s="63">
        <f>17471+25069</f>
        <v>42540</v>
      </c>
      <c r="K359" s="63">
        <f t="shared" si="84"/>
        <v>1681762</v>
      </c>
      <c r="L359" s="63">
        <f>8563+12292</f>
        <v>20855</v>
      </c>
      <c r="M359" s="63">
        <f>14431+20715</f>
        <v>35146</v>
      </c>
      <c r="N359" s="63">
        <f>597+857</f>
        <v>1454</v>
      </c>
      <c r="O359" s="63">
        <f t="shared" si="85"/>
        <v>57455</v>
      </c>
      <c r="R359" s="62">
        <f t="shared" si="86"/>
        <v>1837369</v>
      </c>
      <c r="S359" s="62"/>
      <c r="V359" s="62"/>
      <c r="W359" s="62"/>
      <c r="X359" s="62"/>
      <c r="Y359" s="62"/>
      <c r="Z359" s="62"/>
      <c r="AC359" s="99"/>
      <c r="AD359" s="99"/>
      <c r="AE359" s="99"/>
      <c r="AF359" s="98"/>
      <c r="AH359" s="98"/>
    </row>
    <row r="360" spans="1:34" ht="25.5" hidden="1" customHeight="1" x14ac:dyDescent="0.25">
      <c r="A360" s="56" t="s">
        <v>25</v>
      </c>
      <c r="B360" s="54" t="s">
        <v>3</v>
      </c>
      <c r="C360" s="55">
        <f>912752+170141</f>
        <v>1082893</v>
      </c>
      <c r="D360" s="55">
        <f>43749+8155</f>
        <v>51904</v>
      </c>
      <c r="E360" s="55">
        <f>21538+4014</f>
        <v>25552</v>
      </c>
      <c r="F360" s="55">
        <f>2019+377</f>
        <v>2396</v>
      </c>
      <c r="G360" s="55">
        <f t="shared" si="83"/>
        <v>79852</v>
      </c>
      <c r="H360" s="63">
        <f>488811+91114</f>
        <v>579925</v>
      </c>
      <c r="I360" s="63">
        <f>240645+44853</f>
        <v>285498</v>
      </c>
      <c r="J360" s="63">
        <f>22561+4212</f>
        <v>26773</v>
      </c>
      <c r="K360" s="63">
        <f t="shared" si="84"/>
        <v>892196</v>
      </c>
      <c r="L360" s="63">
        <f>60729+11320</f>
        <v>72049</v>
      </c>
      <c r="M360" s="63">
        <f>29897+5573</f>
        <v>35470</v>
      </c>
      <c r="N360" s="63">
        <f>2803+523</f>
        <v>3326</v>
      </c>
      <c r="O360" s="63">
        <f t="shared" si="85"/>
        <v>110845</v>
      </c>
      <c r="R360" s="62">
        <f t="shared" si="86"/>
        <v>1082893</v>
      </c>
      <c r="S360" s="62"/>
      <c r="V360" s="62"/>
      <c r="W360" s="62"/>
      <c r="X360" s="62"/>
      <c r="Y360" s="62"/>
      <c r="Z360" s="62"/>
      <c r="AC360" s="99"/>
      <c r="AD360" s="99"/>
      <c r="AE360" s="99"/>
      <c r="AF360" s="98"/>
      <c r="AH360" s="98"/>
    </row>
    <row r="361" spans="1:34" ht="54" hidden="1" customHeight="1" x14ac:dyDescent="0.25">
      <c r="A361" s="56" t="s">
        <v>30</v>
      </c>
      <c r="B361" s="54" t="s">
        <v>2</v>
      </c>
      <c r="C361" s="55">
        <v>100940</v>
      </c>
      <c r="D361" s="55">
        <v>2859</v>
      </c>
      <c r="E361" s="55">
        <v>0</v>
      </c>
      <c r="F361" s="55">
        <v>0</v>
      </c>
      <c r="G361" s="55">
        <f t="shared" si="83"/>
        <v>2859</v>
      </c>
      <c r="H361" s="63">
        <v>84504</v>
      </c>
      <c r="I361" s="63">
        <v>0</v>
      </c>
      <c r="J361" s="63">
        <v>0</v>
      </c>
      <c r="K361" s="63">
        <f t="shared" si="84"/>
        <v>84504</v>
      </c>
      <c r="L361" s="63">
        <v>13577</v>
      </c>
      <c r="M361" s="63">
        <v>0</v>
      </c>
      <c r="N361" s="63">
        <v>0</v>
      </c>
      <c r="O361" s="63">
        <f t="shared" si="85"/>
        <v>13577</v>
      </c>
      <c r="R361" s="62">
        <f t="shared" si="86"/>
        <v>100940</v>
      </c>
      <c r="S361" s="62"/>
      <c r="V361" s="62"/>
      <c r="W361" s="62"/>
      <c r="X361" s="62"/>
      <c r="Y361" s="62"/>
      <c r="Z361" s="62"/>
      <c r="AC361" s="99"/>
      <c r="AF361" s="98"/>
      <c r="AH361" s="98"/>
    </row>
    <row r="362" spans="1:34" ht="39.75" hidden="1" customHeight="1" x14ac:dyDescent="0.25">
      <c r="A362" s="56" t="s">
        <v>31</v>
      </c>
      <c r="B362" s="54" t="s">
        <v>1</v>
      </c>
      <c r="C362" s="55">
        <v>100043</v>
      </c>
      <c r="D362" s="55">
        <v>7441</v>
      </c>
      <c r="E362" s="55">
        <v>0</v>
      </c>
      <c r="F362" s="55">
        <v>0</v>
      </c>
      <c r="G362" s="55">
        <f t="shared" si="83"/>
        <v>7441</v>
      </c>
      <c r="H362" s="63">
        <v>88566</v>
      </c>
      <c r="I362" s="63">
        <v>0</v>
      </c>
      <c r="J362" s="63">
        <v>0</v>
      </c>
      <c r="K362" s="63">
        <f t="shared" si="84"/>
        <v>88566</v>
      </c>
      <c r="L362" s="63">
        <v>4036</v>
      </c>
      <c r="M362" s="63">
        <v>0</v>
      </c>
      <c r="N362" s="63">
        <v>0</v>
      </c>
      <c r="O362" s="63">
        <f t="shared" si="85"/>
        <v>4036</v>
      </c>
      <c r="R362" s="62">
        <f t="shared" si="86"/>
        <v>100043</v>
      </c>
      <c r="S362" s="62"/>
      <c r="V362" s="62"/>
      <c r="W362" s="62"/>
      <c r="X362" s="62"/>
      <c r="Y362" s="62"/>
      <c r="Z362" s="62"/>
      <c r="AC362" s="99"/>
      <c r="AF362" s="98"/>
      <c r="AH362" s="98"/>
    </row>
    <row r="363" spans="1:34" ht="33" hidden="1" customHeight="1" x14ac:dyDescent="0.25">
      <c r="A363" s="56" t="s">
        <v>32</v>
      </c>
      <c r="B363" s="54" t="s">
        <v>73</v>
      </c>
      <c r="C363" s="55">
        <v>41245</v>
      </c>
      <c r="D363" s="55">
        <v>8112</v>
      </c>
      <c r="E363" s="55">
        <v>0</v>
      </c>
      <c r="F363" s="55">
        <v>0</v>
      </c>
      <c r="G363" s="55">
        <f t="shared" si="83"/>
        <v>8112</v>
      </c>
      <c r="H363" s="63">
        <v>26556</v>
      </c>
      <c r="I363" s="63">
        <v>0</v>
      </c>
      <c r="J363" s="63">
        <v>0</v>
      </c>
      <c r="K363" s="63">
        <f t="shared" si="84"/>
        <v>26556</v>
      </c>
      <c r="L363" s="63">
        <v>6577</v>
      </c>
      <c r="M363" s="63">
        <v>0</v>
      </c>
      <c r="N363" s="63">
        <v>0</v>
      </c>
      <c r="O363" s="63">
        <f t="shared" si="85"/>
        <v>6577</v>
      </c>
      <c r="R363" s="62">
        <f t="shared" si="86"/>
        <v>41245</v>
      </c>
      <c r="S363" s="62"/>
      <c r="V363" s="62"/>
      <c r="W363" s="62"/>
      <c r="X363" s="62"/>
      <c r="Y363" s="62"/>
      <c r="Z363" s="62"/>
      <c r="AC363" s="99"/>
      <c r="AF363" s="98"/>
      <c r="AH363" s="98"/>
    </row>
    <row r="364" spans="1:34" ht="33" hidden="1" customHeight="1" x14ac:dyDescent="0.25">
      <c r="A364" s="56" t="s">
        <v>90</v>
      </c>
      <c r="B364" s="70" t="s">
        <v>91</v>
      </c>
      <c r="C364" s="55">
        <f>E364+I364+M364</f>
        <v>61662</v>
      </c>
      <c r="D364" s="55">
        <v>0</v>
      </c>
      <c r="E364" s="55">
        <v>10436</v>
      </c>
      <c r="F364" s="55">
        <v>0</v>
      </c>
      <c r="G364" s="55">
        <f t="shared" si="83"/>
        <v>10436</v>
      </c>
      <c r="H364" s="63">
        <v>0</v>
      </c>
      <c r="I364" s="63">
        <v>34306</v>
      </c>
      <c r="J364" s="63">
        <v>0</v>
      </c>
      <c r="K364" s="63">
        <f t="shared" si="84"/>
        <v>34306</v>
      </c>
      <c r="L364" s="63">
        <v>0</v>
      </c>
      <c r="M364" s="63">
        <v>16920</v>
      </c>
      <c r="N364" s="63">
        <v>0</v>
      </c>
      <c r="O364" s="63">
        <f t="shared" si="85"/>
        <v>16920</v>
      </c>
      <c r="R364" s="62">
        <f t="shared" si="86"/>
        <v>61662</v>
      </c>
      <c r="S364" s="62"/>
      <c r="V364" s="62"/>
      <c r="W364" s="62"/>
      <c r="X364" s="62"/>
      <c r="Y364" s="62"/>
      <c r="Z364" s="62"/>
      <c r="AC364" s="99"/>
      <c r="AF364" s="98"/>
      <c r="AH364" s="98"/>
    </row>
    <row r="365" spans="1:34" ht="25.5" hidden="1" customHeight="1" x14ac:dyDescent="0.25">
      <c r="A365" s="57"/>
      <c r="B365" s="57" t="s">
        <v>0</v>
      </c>
      <c r="C365" s="58">
        <f>C347+C349+C351+C353+C354+C357+C358+C359+C360</f>
        <v>15715853</v>
      </c>
      <c r="D365" s="58">
        <f t="shared" ref="D365:O365" si="87">D347+D349+D351+D353+D354+D357+D358+D359+D360</f>
        <v>452849</v>
      </c>
      <c r="E365" s="58">
        <f t="shared" si="87"/>
        <v>1260204</v>
      </c>
      <c r="F365" s="58">
        <f>F347+F349+F351+F353+F354+F357+F358+F359+F360</f>
        <v>32318</v>
      </c>
      <c r="G365" s="58">
        <f t="shared" si="87"/>
        <v>1745371</v>
      </c>
      <c r="H365" s="58">
        <f t="shared" si="87"/>
        <v>3603096</v>
      </c>
      <c r="I365" s="58">
        <f t="shared" si="87"/>
        <v>8532731</v>
      </c>
      <c r="J365" s="58">
        <f t="shared" si="87"/>
        <v>244780</v>
      </c>
      <c r="K365" s="58">
        <f>K347+K349+K351+K353+K354+K357+K358+K359+K360</f>
        <v>12380607</v>
      </c>
      <c r="L365" s="58">
        <f t="shared" si="87"/>
        <v>373008</v>
      </c>
      <c r="M365" s="58">
        <f t="shared" si="87"/>
        <v>1193340</v>
      </c>
      <c r="N365" s="58">
        <f>N347+N349+N351+N353+N354+N357+N358+N359+N360</f>
        <v>23527</v>
      </c>
      <c r="O365" s="58">
        <f t="shared" si="87"/>
        <v>1589875</v>
      </c>
      <c r="R365" s="62">
        <f t="shared" si="86"/>
        <v>15715853</v>
      </c>
      <c r="S365" s="62"/>
      <c r="V365" s="62"/>
      <c r="W365" s="62"/>
      <c r="X365" s="62"/>
      <c r="Y365" s="62"/>
      <c r="Z365" s="62"/>
      <c r="AF365" s="98"/>
      <c r="AH365" s="98"/>
    </row>
    <row r="366" spans="1:34" hidden="1" x14ac:dyDescent="0.25"/>
    <row r="367" spans="1:34" s="4" customFormat="1" ht="28.5" hidden="1" customHeight="1" x14ac:dyDescent="0.25">
      <c r="A367" s="152" t="s">
        <v>17</v>
      </c>
      <c r="B367" s="152" t="s">
        <v>33</v>
      </c>
      <c r="C367" s="159" t="s">
        <v>88</v>
      </c>
      <c r="D367" s="152" t="s">
        <v>69</v>
      </c>
      <c r="E367" s="152"/>
      <c r="F367" s="152"/>
      <c r="G367" s="152"/>
      <c r="H367" s="152"/>
      <c r="I367" s="152"/>
      <c r="J367" s="152"/>
      <c r="K367" s="152"/>
      <c r="L367" s="152"/>
      <c r="M367" s="152"/>
      <c r="N367" s="152"/>
      <c r="O367" s="152"/>
      <c r="R367" s="61"/>
      <c r="S367" s="61"/>
      <c r="V367" s="61"/>
      <c r="W367" s="61"/>
      <c r="X367" s="61"/>
      <c r="Y367" s="61"/>
      <c r="Z367" s="61"/>
      <c r="AC367" s="95"/>
      <c r="AD367" s="95"/>
      <c r="AE367" s="95"/>
      <c r="AF367" s="95"/>
      <c r="AG367" s="93"/>
      <c r="AH367" s="95"/>
    </row>
    <row r="368" spans="1:34" s="4" customFormat="1" ht="41.25" hidden="1" customHeight="1" x14ac:dyDescent="0.25">
      <c r="A368" s="152"/>
      <c r="B368" s="152"/>
      <c r="C368" s="159"/>
      <c r="D368" s="154" t="s">
        <v>36</v>
      </c>
      <c r="E368" s="154"/>
      <c r="F368" s="154"/>
      <c r="G368" s="154"/>
      <c r="H368" s="155" t="s">
        <v>37</v>
      </c>
      <c r="I368" s="156"/>
      <c r="J368" s="156"/>
      <c r="K368" s="157"/>
      <c r="L368" s="155" t="s">
        <v>38</v>
      </c>
      <c r="M368" s="156"/>
      <c r="N368" s="156"/>
      <c r="O368" s="157"/>
      <c r="R368" s="61"/>
      <c r="S368" s="61"/>
      <c r="V368" s="61"/>
      <c r="W368" s="61"/>
      <c r="X368" s="61"/>
      <c r="Y368" s="61"/>
      <c r="Z368" s="61"/>
      <c r="AC368" s="95"/>
      <c r="AD368" s="95"/>
      <c r="AE368" s="95"/>
      <c r="AF368" s="95"/>
      <c r="AG368" s="93"/>
      <c r="AH368" s="95"/>
    </row>
    <row r="369" spans="1:34" s="4" customFormat="1" ht="59.25" hidden="1" customHeight="1" x14ac:dyDescent="0.25">
      <c r="A369" s="152"/>
      <c r="B369" s="152"/>
      <c r="C369" s="159"/>
      <c r="D369" s="109" t="s">
        <v>66</v>
      </c>
      <c r="E369" s="109" t="s">
        <v>67</v>
      </c>
      <c r="F369" s="109" t="s">
        <v>68</v>
      </c>
      <c r="G369" s="109" t="s">
        <v>70</v>
      </c>
      <c r="H369" s="65" t="s">
        <v>66</v>
      </c>
      <c r="I369" s="65" t="s">
        <v>67</v>
      </c>
      <c r="J369" s="65" t="s">
        <v>68</v>
      </c>
      <c r="K369" s="65" t="s">
        <v>71</v>
      </c>
      <c r="L369" s="65" t="s">
        <v>66</v>
      </c>
      <c r="M369" s="65" t="s">
        <v>67</v>
      </c>
      <c r="N369" s="65" t="s">
        <v>68</v>
      </c>
      <c r="O369" s="65" t="s">
        <v>72</v>
      </c>
      <c r="R369" s="61"/>
      <c r="S369" s="61"/>
      <c r="V369" s="61"/>
      <c r="W369" s="61"/>
      <c r="X369" s="61"/>
      <c r="Y369" s="61"/>
      <c r="Z369" s="61"/>
      <c r="AC369" s="95"/>
      <c r="AD369" s="95"/>
      <c r="AE369" s="95"/>
      <c r="AF369" s="95"/>
      <c r="AG369" s="93"/>
      <c r="AH369" s="95"/>
    </row>
    <row r="370" spans="1:34" s="3" customFormat="1" ht="14.25" hidden="1" customHeight="1" x14ac:dyDescent="0.25">
      <c r="A370" s="53">
        <v>1</v>
      </c>
      <c r="B370" s="53">
        <v>2</v>
      </c>
      <c r="C370" s="53">
        <v>3</v>
      </c>
      <c r="D370" s="53">
        <v>4</v>
      </c>
      <c r="E370" s="53">
        <v>5</v>
      </c>
      <c r="F370" s="53">
        <v>6</v>
      </c>
      <c r="G370" s="53">
        <v>7</v>
      </c>
      <c r="H370" s="66">
        <v>8</v>
      </c>
      <c r="I370" s="66">
        <v>9</v>
      </c>
      <c r="J370" s="66">
        <v>10</v>
      </c>
      <c r="K370" s="66">
        <v>11</v>
      </c>
      <c r="L370" s="66">
        <v>12</v>
      </c>
      <c r="M370" s="66">
        <v>13</v>
      </c>
      <c r="N370" s="66">
        <v>14</v>
      </c>
      <c r="O370" s="66">
        <v>15</v>
      </c>
      <c r="R370" s="61"/>
      <c r="S370" s="61"/>
      <c r="V370" s="61"/>
      <c r="W370" s="61"/>
      <c r="X370" s="61"/>
      <c r="Y370" s="61"/>
      <c r="Z370" s="61"/>
      <c r="AC370" s="95"/>
      <c r="AD370" s="95"/>
      <c r="AE370" s="95"/>
      <c r="AF370" s="95"/>
      <c r="AG370" s="94"/>
      <c r="AH370" s="95"/>
    </row>
    <row r="371" spans="1:34" s="3" customFormat="1" ht="25.5" hidden="1" customHeight="1" x14ac:dyDescent="0.25">
      <c r="A371" s="53" t="s">
        <v>16</v>
      </c>
      <c r="B371" s="54" t="s">
        <v>15</v>
      </c>
      <c r="C371" s="55">
        <f t="shared" ref="C371:F388" si="88">C298+C322+C347</f>
        <v>15504269</v>
      </c>
      <c r="D371" s="55">
        <f t="shared" si="88"/>
        <v>387323</v>
      </c>
      <c r="E371" s="55">
        <f t="shared" si="88"/>
        <v>2031807</v>
      </c>
      <c r="F371" s="55">
        <f t="shared" si="88"/>
        <v>0</v>
      </c>
      <c r="G371" s="55">
        <f>D371+E371+F371</f>
        <v>2419130</v>
      </c>
      <c r="H371" s="63">
        <f t="shared" ref="H371:J388" si="89">H298+H322+H347</f>
        <v>1633194</v>
      </c>
      <c r="I371" s="63">
        <f t="shared" si="89"/>
        <v>8567375</v>
      </c>
      <c r="J371" s="63">
        <f t="shared" si="89"/>
        <v>0</v>
      </c>
      <c r="K371" s="63">
        <f>H371+I371+J371</f>
        <v>10200569</v>
      </c>
      <c r="L371" s="63">
        <f t="shared" ref="L371:N388" si="90">L298+L322+L347</f>
        <v>461843</v>
      </c>
      <c r="M371" s="63">
        <f t="shared" si="90"/>
        <v>2422727</v>
      </c>
      <c r="N371" s="63">
        <f t="shared" si="90"/>
        <v>0</v>
      </c>
      <c r="O371" s="63">
        <f>L371+M371+N371</f>
        <v>2884570</v>
      </c>
      <c r="R371" s="62">
        <f>G371+K371+O371</f>
        <v>15504269</v>
      </c>
      <c r="S371" s="62"/>
      <c r="V371" s="62"/>
      <c r="W371" s="62"/>
      <c r="X371" s="62"/>
      <c r="Y371" s="62"/>
      <c r="Z371" s="62"/>
      <c r="AC371" s="95"/>
      <c r="AD371" s="95"/>
      <c r="AE371" s="95"/>
      <c r="AF371" s="95"/>
      <c r="AG371" s="94"/>
      <c r="AH371" s="95"/>
    </row>
    <row r="372" spans="1:34" ht="40.5" hidden="1" customHeight="1" x14ac:dyDescent="0.25">
      <c r="A372" s="56" t="s">
        <v>24</v>
      </c>
      <c r="B372" s="54" t="s">
        <v>14</v>
      </c>
      <c r="C372" s="55">
        <f t="shared" si="88"/>
        <v>896395</v>
      </c>
      <c r="D372" s="55">
        <f t="shared" si="88"/>
        <v>102610</v>
      </c>
      <c r="E372" s="55">
        <f t="shared" si="88"/>
        <v>80580</v>
      </c>
      <c r="F372" s="55">
        <f t="shared" si="88"/>
        <v>2560</v>
      </c>
      <c r="G372" s="55">
        <f t="shared" ref="G372:G388" si="91">D372+E372+F372</f>
        <v>185750</v>
      </c>
      <c r="H372" s="63">
        <f t="shared" si="89"/>
        <v>301554</v>
      </c>
      <c r="I372" s="63">
        <f t="shared" si="89"/>
        <v>236810</v>
      </c>
      <c r="J372" s="63">
        <f t="shared" si="89"/>
        <v>7523</v>
      </c>
      <c r="K372" s="63">
        <f t="shared" ref="K372:K388" si="92">H372+I372+J372</f>
        <v>545887</v>
      </c>
      <c r="L372" s="63">
        <f t="shared" si="90"/>
        <v>91013</v>
      </c>
      <c r="M372" s="63">
        <f t="shared" si="90"/>
        <v>71474</v>
      </c>
      <c r="N372" s="63">
        <f t="shared" si="90"/>
        <v>2271</v>
      </c>
      <c r="O372" s="63">
        <f t="shared" ref="O372:O388" si="93">L372+M372+N372</f>
        <v>164758</v>
      </c>
      <c r="R372" s="62">
        <f t="shared" ref="R372:R389" si="94">G372+K372+O372</f>
        <v>896395</v>
      </c>
      <c r="S372" s="62"/>
      <c r="V372" s="62"/>
      <c r="W372" s="62"/>
      <c r="X372" s="62"/>
      <c r="Y372" s="62"/>
      <c r="Z372" s="62"/>
    </row>
    <row r="373" spans="1:34" ht="34.5" hidden="1" customHeight="1" x14ac:dyDescent="0.25">
      <c r="A373" s="56" t="s">
        <v>24</v>
      </c>
      <c r="B373" s="54" t="s">
        <v>13</v>
      </c>
      <c r="C373" s="55">
        <f t="shared" si="88"/>
        <v>6371092</v>
      </c>
      <c r="D373" s="55">
        <f t="shared" si="88"/>
        <v>0</v>
      </c>
      <c r="E373" s="55">
        <f t="shared" si="88"/>
        <v>361115</v>
      </c>
      <c r="F373" s="55">
        <f t="shared" si="88"/>
        <v>0</v>
      </c>
      <c r="G373" s="55">
        <f t="shared" si="91"/>
        <v>361115</v>
      </c>
      <c r="H373" s="63">
        <f t="shared" si="89"/>
        <v>0</v>
      </c>
      <c r="I373" s="63">
        <f t="shared" si="89"/>
        <v>5352673</v>
      </c>
      <c r="J373" s="63">
        <f t="shared" si="89"/>
        <v>0</v>
      </c>
      <c r="K373" s="63">
        <f t="shared" si="92"/>
        <v>5352673</v>
      </c>
      <c r="L373" s="63">
        <f t="shared" si="90"/>
        <v>0</v>
      </c>
      <c r="M373" s="63">
        <f t="shared" si="90"/>
        <v>657304</v>
      </c>
      <c r="N373" s="63">
        <f t="shared" si="90"/>
        <v>0</v>
      </c>
      <c r="O373" s="63">
        <f t="shared" si="93"/>
        <v>657304</v>
      </c>
      <c r="R373" s="62">
        <f t="shared" si="94"/>
        <v>6371092</v>
      </c>
      <c r="S373" s="62"/>
      <c r="V373" s="62"/>
      <c r="W373" s="62"/>
      <c r="X373" s="62"/>
      <c r="Y373" s="62"/>
      <c r="Z373" s="62"/>
    </row>
    <row r="374" spans="1:34" ht="40.5" hidden="1" customHeight="1" x14ac:dyDescent="0.25">
      <c r="A374" s="56" t="s">
        <v>22</v>
      </c>
      <c r="B374" s="54" t="s">
        <v>12</v>
      </c>
      <c r="C374" s="55">
        <f t="shared" si="88"/>
        <v>496123</v>
      </c>
      <c r="D374" s="55">
        <f t="shared" si="88"/>
        <v>57069</v>
      </c>
      <c r="E374" s="55">
        <f t="shared" si="88"/>
        <v>0</v>
      </c>
      <c r="F374" s="55">
        <f t="shared" si="88"/>
        <v>0</v>
      </c>
      <c r="G374" s="55">
        <f t="shared" si="91"/>
        <v>57069</v>
      </c>
      <c r="H374" s="63">
        <f t="shared" si="89"/>
        <v>371159</v>
      </c>
      <c r="I374" s="63">
        <f t="shared" si="89"/>
        <v>0</v>
      </c>
      <c r="J374" s="63">
        <f t="shared" si="89"/>
        <v>0</v>
      </c>
      <c r="K374" s="63">
        <f t="shared" si="92"/>
        <v>371159</v>
      </c>
      <c r="L374" s="63">
        <f t="shared" si="90"/>
        <v>67895</v>
      </c>
      <c r="M374" s="63">
        <f t="shared" si="90"/>
        <v>0</v>
      </c>
      <c r="N374" s="63">
        <f t="shared" si="90"/>
        <v>0</v>
      </c>
      <c r="O374" s="63">
        <f t="shared" si="93"/>
        <v>67895</v>
      </c>
      <c r="R374" s="62">
        <f t="shared" si="94"/>
        <v>496123</v>
      </c>
      <c r="S374" s="62"/>
      <c r="V374" s="62"/>
      <c r="W374" s="62"/>
      <c r="X374" s="62"/>
      <c r="Y374" s="62"/>
      <c r="Z374" s="62"/>
    </row>
    <row r="375" spans="1:34" ht="39.75" hidden="1" customHeight="1" x14ac:dyDescent="0.25">
      <c r="A375" s="56" t="s">
        <v>23</v>
      </c>
      <c r="B375" s="54" t="s">
        <v>11</v>
      </c>
      <c r="C375" s="55">
        <f t="shared" si="88"/>
        <v>680458</v>
      </c>
      <c r="D375" s="55">
        <f t="shared" si="88"/>
        <v>26509</v>
      </c>
      <c r="E375" s="55">
        <f t="shared" si="88"/>
        <v>42190</v>
      </c>
      <c r="F375" s="55">
        <f t="shared" si="88"/>
        <v>18298</v>
      </c>
      <c r="G375" s="55">
        <f t="shared" si="91"/>
        <v>86997</v>
      </c>
      <c r="H375" s="63">
        <f t="shared" si="89"/>
        <v>140622</v>
      </c>
      <c r="I375" s="63">
        <f t="shared" si="89"/>
        <v>223806</v>
      </c>
      <c r="J375" s="63">
        <f t="shared" si="89"/>
        <v>97065</v>
      </c>
      <c r="K375" s="63">
        <f t="shared" si="92"/>
        <v>461493</v>
      </c>
      <c r="L375" s="63">
        <f t="shared" si="90"/>
        <v>40210</v>
      </c>
      <c r="M375" s="63">
        <f t="shared" si="90"/>
        <v>64000</v>
      </c>
      <c r="N375" s="63">
        <f t="shared" si="90"/>
        <v>27758</v>
      </c>
      <c r="O375" s="63">
        <f t="shared" si="93"/>
        <v>131968</v>
      </c>
      <c r="R375" s="62">
        <f t="shared" si="94"/>
        <v>680458</v>
      </c>
      <c r="S375" s="62"/>
      <c r="V375" s="62"/>
      <c r="W375" s="62"/>
      <c r="X375" s="62"/>
      <c r="Y375" s="62"/>
      <c r="Z375" s="62"/>
    </row>
    <row r="376" spans="1:34" ht="28.5" hidden="1" customHeight="1" x14ac:dyDescent="0.25">
      <c r="A376" s="56" t="s">
        <v>20</v>
      </c>
      <c r="B376" s="54" t="s">
        <v>34</v>
      </c>
      <c r="C376" s="55">
        <f t="shared" si="88"/>
        <v>881889</v>
      </c>
      <c r="D376" s="55">
        <f t="shared" si="88"/>
        <v>165072</v>
      </c>
      <c r="E376" s="55">
        <f t="shared" si="88"/>
        <v>0</v>
      </c>
      <c r="F376" s="55">
        <f t="shared" si="88"/>
        <v>0</v>
      </c>
      <c r="G376" s="55">
        <f t="shared" si="91"/>
        <v>165072</v>
      </c>
      <c r="H376" s="63">
        <f t="shared" si="89"/>
        <v>538808</v>
      </c>
      <c r="I376" s="63">
        <f t="shared" si="89"/>
        <v>0</v>
      </c>
      <c r="J376" s="63">
        <f t="shared" si="89"/>
        <v>0</v>
      </c>
      <c r="K376" s="63">
        <f t="shared" si="92"/>
        <v>538808</v>
      </c>
      <c r="L376" s="63">
        <f t="shared" si="90"/>
        <v>178009</v>
      </c>
      <c r="M376" s="63">
        <f t="shared" si="90"/>
        <v>0</v>
      </c>
      <c r="N376" s="63">
        <f t="shared" si="90"/>
        <v>0</v>
      </c>
      <c r="O376" s="63">
        <f t="shared" si="93"/>
        <v>178009</v>
      </c>
      <c r="R376" s="62">
        <f t="shared" si="94"/>
        <v>881889</v>
      </c>
      <c r="S376" s="62"/>
      <c r="V376" s="62"/>
      <c r="W376" s="62"/>
      <c r="X376" s="62"/>
      <c r="Y376" s="62"/>
      <c r="Z376" s="62"/>
    </row>
    <row r="377" spans="1:34" ht="34.5" hidden="1" customHeight="1" x14ac:dyDescent="0.25">
      <c r="A377" s="56" t="s">
        <v>22</v>
      </c>
      <c r="B377" s="54" t="s">
        <v>10</v>
      </c>
      <c r="C377" s="55">
        <f t="shared" si="88"/>
        <v>3433060</v>
      </c>
      <c r="D377" s="55">
        <f t="shared" si="88"/>
        <v>74566</v>
      </c>
      <c r="E377" s="55">
        <f t="shared" si="88"/>
        <v>97539</v>
      </c>
      <c r="F377" s="55">
        <f t="shared" si="88"/>
        <v>4593</v>
      </c>
      <c r="G377" s="55">
        <f t="shared" si="91"/>
        <v>176698</v>
      </c>
      <c r="H377" s="63">
        <f t="shared" si="89"/>
        <v>1159751</v>
      </c>
      <c r="I377" s="63">
        <f t="shared" si="89"/>
        <v>1517031</v>
      </c>
      <c r="J377" s="63">
        <f t="shared" si="89"/>
        <v>71452</v>
      </c>
      <c r="K377" s="63">
        <f t="shared" si="92"/>
        <v>2748234</v>
      </c>
      <c r="L377" s="63">
        <f t="shared" si="90"/>
        <v>214430</v>
      </c>
      <c r="M377" s="63">
        <f t="shared" si="90"/>
        <v>280488</v>
      </c>
      <c r="N377" s="63">
        <f t="shared" si="90"/>
        <v>13210</v>
      </c>
      <c r="O377" s="63">
        <f t="shared" si="93"/>
        <v>508128</v>
      </c>
      <c r="R377" s="62">
        <f t="shared" si="94"/>
        <v>3433060</v>
      </c>
      <c r="S377" s="62"/>
      <c r="V377" s="62"/>
      <c r="W377" s="62"/>
      <c r="X377" s="62"/>
      <c r="Y377" s="62"/>
      <c r="Z377" s="62"/>
    </row>
    <row r="378" spans="1:34" ht="25.5" hidden="1" customHeight="1" x14ac:dyDescent="0.25">
      <c r="A378" s="56" t="s">
        <v>21</v>
      </c>
      <c r="B378" s="54" t="s">
        <v>9</v>
      </c>
      <c r="C378" s="55">
        <f t="shared" si="88"/>
        <v>4064380</v>
      </c>
      <c r="D378" s="55">
        <f t="shared" si="88"/>
        <v>375164</v>
      </c>
      <c r="E378" s="55">
        <f t="shared" si="88"/>
        <v>585701</v>
      </c>
      <c r="F378" s="55">
        <f t="shared" si="88"/>
        <v>18083</v>
      </c>
      <c r="G378" s="55">
        <f t="shared" si="91"/>
        <v>978948</v>
      </c>
      <c r="H378" s="63">
        <f t="shared" si="89"/>
        <v>1172258</v>
      </c>
      <c r="I378" s="63">
        <f t="shared" si="89"/>
        <v>1830097</v>
      </c>
      <c r="J378" s="63">
        <f t="shared" si="89"/>
        <v>56497</v>
      </c>
      <c r="K378" s="63">
        <f t="shared" si="92"/>
        <v>3058852</v>
      </c>
      <c r="L378" s="63">
        <f t="shared" si="90"/>
        <v>10187</v>
      </c>
      <c r="M378" s="63">
        <f t="shared" si="90"/>
        <v>15903</v>
      </c>
      <c r="N378" s="63">
        <f t="shared" si="90"/>
        <v>490</v>
      </c>
      <c r="O378" s="63">
        <f t="shared" si="93"/>
        <v>26580</v>
      </c>
      <c r="R378" s="62">
        <f t="shared" si="94"/>
        <v>4064380</v>
      </c>
      <c r="S378" s="62"/>
      <c r="V378" s="62"/>
      <c r="W378" s="62"/>
      <c r="X378" s="62"/>
      <c r="Y378" s="62"/>
      <c r="Z378" s="62"/>
    </row>
    <row r="379" spans="1:34" ht="25.5" hidden="1" customHeight="1" x14ac:dyDescent="0.25">
      <c r="A379" s="56" t="s">
        <v>25</v>
      </c>
      <c r="B379" s="54" t="s">
        <v>8</v>
      </c>
      <c r="C379" s="55">
        <f t="shared" si="88"/>
        <v>4451028</v>
      </c>
      <c r="D379" s="55">
        <f t="shared" si="88"/>
        <v>30279</v>
      </c>
      <c r="E379" s="55">
        <f t="shared" si="88"/>
        <v>145537</v>
      </c>
      <c r="F379" s="55">
        <f t="shared" si="88"/>
        <v>0</v>
      </c>
      <c r="G379" s="55">
        <f t="shared" si="91"/>
        <v>175816</v>
      </c>
      <c r="H379" s="63">
        <f t="shared" si="89"/>
        <v>491418</v>
      </c>
      <c r="I379" s="63">
        <f t="shared" si="89"/>
        <v>2362047</v>
      </c>
      <c r="J379" s="63">
        <f t="shared" si="89"/>
        <v>0</v>
      </c>
      <c r="K379" s="63">
        <f t="shared" si="92"/>
        <v>2853465</v>
      </c>
      <c r="L379" s="63">
        <f t="shared" si="90"/>
        <v>244850</v>
      </c>
      <c r="M379" s="63">
        <f t="shared" si="90"/>
        <v>1176897</v>
      </c>
      <c r="N379" s="63">
        <f t="shared" si="90"/>
        <v>0</v>
      </c>
      <c r="O379" s="63">
        <f t="shared" si="93"/>
        <v>1421747</v>
      </c>
      <c r="R379" s="62">
        <f t="shared" si="94"/>
        <v>4451028</v>
      </c>
      <c r="S379" s="62"/>
      <c r="V379" s="62"/>
      <c r="W379" s="62"/>
      <c r="X379" s="62"/>
      <c r="Y379" s="62"/>
      <c r="Z379" s="62"/>
    </row>
    <row r="380" spans="1:34" ht="25.5" hidden="1" customHeight="1" x14ac:dyDescent="0.25">
      <c r="A380" s="56" t="s">
        <v>26</v>
      </c>
      <c r="B380" s="54" t="s">
        <v>7</v>
      </c>
      <c r="C380" s="55">
        <f t="shared" si="88"/>
        <v>2769862</v>
      </c>
      <c r="D380" s="55">
        <f t="shared" si="88"/>
        <v>6035</v>
      </c>
      <c r="E380" s="55">
        <f t="shared" si="88"/>
        <v>44571</v>
      </c>
      <c r="F380" s="55">
        <f t="shared" si="88"/>
        <v>0</v>
      </c>
      <c r="G380" s="55">
        <f t="shared" si="91"/>
        <v>50606</v>
      </c>
      <c r="H380" s="63">
        <f t="shared" si="89"/>
        <v>294828</v>
      </c>
      <c r="I380" s="63">
        <f t="shared" si="89"/>
        <v>2177495</v>
      </c>
      <c r="J380" s="63">
        <f t="shared" si="89"/>
        <v>0</v>
      </c>
      <c r="K380" s="63">
        <f t="shared" si="92"/>
        <v>2472323</v>
      </c>
      <c r="L380" s="63">
        <f t="shared" si="90"/>
        <v>29448</v>
      </c>
      <c r="M380" s="63">
        <f t="shared" si="90"/>
        <v>217485</v>
      </c>
      <c r="N380" s="63">
        <f t="shared" si="90"/>
        <v>0</v>
      </c>
      <c r="O380" s="63">
        <f t="shared" si="93"/>
        <v>246933</v>
      </c>
      <c r="R380" s="62">
        <f t="shared" si="94"/>
        <v>2769862</v>
      </c>
      <c r="S380" s="62"/>
      <c r="V380" s="62"/>
      <c r="W380" s="62"/>
      <c r="X380" s="62"/>
      <c r="Y380" s="62"/>
      <c r="Z380" s="62"/>
    </row>
    <row r="381" spans="1:34" ht="25.5" hidden="1" customHeight="1" x14ac:dyDescent="0.25">
      <c r="A381" s="56" t="s">
        <v>20</v>
      </c>
      <c r="B381" s="54" t="s">
        <v>6</v>
      </c>
      <c r="C381" s="55">
        <f t="shared" si="88"/>
        <v>3612843</v>
      </c>
      <c r="D381" s="55">
        <f t="shared" si="88"/>
        <v>13803</v>
      </c>
      <c r="E381" s="55">
        <f t="shared" si="88"/>
        <v>10968</v>
      </c>
      <c r="F381" s="55">
        <f t="shared" si="88"/>
        <v>408</v>
      </c>
      <c r="G381" s="55">
        <f t="shared" si="91"/>
        <v>25179</v>
      </c>
      <c r="H381" s="63">
        <f t="shared" si="89"/>
        <v>1963453</v>
      </c>
      <c r="I381" s="63">
        <f t="shared" si="89"/>
        <v>1560426</v>
      </c>
      <c r="J381" s="63">
        <f t="shared" si="89"/>
        <v>58364</v>
      </c>
      <c r="K381" s="63">
        <f t="shared" si="92"/>
        <v>3582243</v>
      </c>
      <c r="L381" s="63">
        <f t="shared" si="90"/>
        <v>2971</v>
      </c>
      <c r="M381" s="63">
        <f t="shared" si="90"/>
        <v>2361</v>
      </c>
      <c r="N381" s="63">
        <f t="shared" si="90"/>
        <v>89</v>
      </c>
      <c r="O381" s="63">
        <f t="shared" si="93"/>
        <v>5421</v>
      </c>
      <c r="R381" s="62">
        <f t="shared" si="94"/>
        <v>3612843</v>
      </c>
      <c r="S381" s="62"/>
      <c r="V381" s="62"/>
      <c r="W381" s="62"/>
      <c r="X381" s="62"/>
      <c r="Y381" s="62"/>
      <c r="Z381" s="62"/>
    </row>
    <row r="382" spans="1:34" ht="25.5" hidden="1" customHeight="1" x14ac:dyDescent="0.25">
      <c r="A382" s="56" t="s">
        <v>19</v>
      </c>
      <c r="B382" s="54" t="s">
        <v>5</v>
      </c>
      <c r="C382" s="55">
        <f t="shared" si="88"/>
        <v>4925029</v>
      </c>
      <c r="D382" s="55">
        <f t="shared" si="88"/>
        <v>160054</v>
      </c>
      <c r="E382" s="55">
        <f t="shared" si="88"/>
        <v>491334</v>
      </c>
      <c r="F382" s="55">
        <f t="shared" si="88"/>
        <v>29987</v>
      </c>
      <c r="G382" s="55">
        <f t="shared" si="91"/>
        <v>681375</v>
      </c>
      <c r="H382" s="63">
        <f t="shared" si="89"/>
        <v>987126</v>
      </c>
      <c r="I382" s="63">
        <f t="shared" si="89"/>
        <v>3030250</v>
      </c>
      <c r="J382" s="63">
        <f t="shared" si="89"/>
        <v>184957</v>
      </c>
      <c r="K382" s="63">
        <f t="shared" si="92"/>
        <v>4202333</v>
      </c>
      <c r="L382" s="63">
        <f t="shared" si="90"/>
        <v>9705</v>
      </c>
      <c r="M382" s="63">
        <f t="shared" si="90"/>
        <v>29796</v>
      </c>
      <c r="N382" s="63">
        <f t="shared" si="90"/>
        <v>1820</v>
      </c>
      <c r="O382" s="63">
        <f t="shared" si="93"/>
        <v>41321</v>
      </c>
      <c r="R382" s="62">
        <f t="shared" si="94"/>
        <v>4925029</v>
      </c>
      <c r="S382" s="62"/>
      <c r="V382" s="62"/>
      <c r="W382" s="62"/>
      <c r="X382" s="62"/>
      <c r="Y382" s="62"/>
      <c r="Z382" s="62"/>
    </row>
    <row r="383" spans="1:34" ht="25.5" hidden="1" customHeight="1" x14ac:dyDescent="0.25">
      <c r="A383" s="56" t="s">
        <v>18</v>
      </c>
      <c r="B383" s="54" t="s">
        <v>4</v>
      </c>
      <c r="C383" s="55">
        <f t="shared" si="88"/>
        <v>4518368</v>
      </c>
      <c r="D383" s="55">
        <f t="shared" si="88"/>
        <v>87618</v>
      </c>
      <c r="E383" s="55">
        <f t="shared" si="88"/>
        <v>147648</v>
      </c>
      <c r="F383" s="55">
        <f t="shared" si="88"/>
        <v>6106</v>
      </c>
      <c r="G383" s="55">
        <f t="shared" si="91"/>
        <v>241372</v>
      </c>
      <c r="H383" s="63">
        <f t="shared" si="89"/>
        <v>1501243</v>
      </c>
      <c r="I383" s="63">
        <f t="shared" si="89"/>
        <v>2529850</v>
      </c>
      <c r="J383" s="63">
        <f t="shared" si="89"/>
        <v>104612</v>
      </c>
      <c r="K383" s="63">
        <f t="shared" si="92"/>
        <v>4135705</v>
      </c>
      <c r="L383" s="63">
        <f t="shared" si="90"/>
        <v>51287</v>
      </c>
      <c r="M383" s="63">
        <f t="shared" si="90"/>
        <v>86429</v>
      </c>
      <c r="N383" s="63">
        <f t="shared" si="90"/>
        <v>3575</v>
      </c>
      <c r="O383" s="63">
        <f t="shared" si="93"/>
        <v>141291</v>
      </c>
      <c r="R383" s="62">
        <f t="shared" si="94"/>
        <v>4518368</v>
      </c>
      <c r="S383" s="62"/>
      <c r="V383" s="62"/>
      <c r="W383" s="62"/>
      <c r="X383" s="62"/>
      <c r="Y383" s="62"/>
      <c r="Z383" s="62"/>
    </row>
    <row r="384" spans="1:34" ht="25.5" hidden="1" customHeight="1" x14ac:dyDescent="0.25">
      <c r="A384" s="56" t="s">
        <v>25</v>
      </c>
      <c r="B384" s="54" t="s">
        <v>3</v>
      </c>
      <c r="C384" s="55">
        <f t="shared" si="88"/>
        <v>3248498</v>
      </c>
      <c r="D384" s="55">
        <f t="shared" si="88"/>
        <v>155704</v>
      </c>
      <c r="E384" s="55">
        <f t="shared" si="88"/>
        <v>76652</v>
      </c>
      <c r="F384" s="55">
        <f t="shared" si="88"/>
        <v>7188</v>
      </c>
      <c r="G384" s="55">
        <f t="shared" si="91"/>
        <v>239544</v>
      </c>
      <c r="H384" s="63">
        <f t="shared" si="89"/>
        <v>1739679</v>
      </c>
      <c r="I384" s="63">
        <f t="shared" si="89"/>
        <v>856446</v>
      </c>
      <c r="J384" s="63">
        <f t="shared" si="89"/>
        <v>80312</v>
      </c>
      <c r="K384" s="63">
        <f t="shared" si="92"/>
        <v>2676437</v>
      </c>
      <c r="L384" s="63">
        <f t="shared" si="90"/>
        <v>216135</v>
      </c>
      <c r="M384" s="63">
        <f t="shared" si="90"/>
        <v>106404</v>
      </c>
      <c r="N384" s="63">
        <f t="shared" si="90"/>
        <v>9978</v>
      </c>
      <c r="O384" s="63">
        <f t="shared" si="93"/>
        <v>332517</v>
      </c>
      <c r="R384" s="62">
        <f t="shared" si="94"/>
        <v>3248498</v>
      </c>
      <c r="S384" s="62"/>
      <c r="V384" s="62"/>
      <c r="W384" s="62"/>
      <c r="X384" s="62"/>
      <c r="Y384" s="62"/>
      <c r="Z384" s="62"/>
    </row>
    <row r="385" spans="1:34" ht="54" hidden="1" customHeight="1" x14ac:dyDescent="0.25">
      <c r="A385" s="56" t="s">
        <v>30</v>
      </c>
      <c r="B385" s="54" t="s">
        <v>2</v>
      </c>
      <c r="C385" s="55">
        <f t="shared" si="88"/>
        <v>289294</v>
      </c>
      <c r="D385" s="55">
        <f t="shared" si="88"/>
        <v>8193</v>
      </c>
      <c r="E385" s="55">
        <f t="shared" si="88"/>
        <v>0</v>
      </c>
      <c r="F385" s="55">
        <f t="shared" si="88"/>
        <v>0</v>
      </c>
      <c r="G385" s="55">
        <f t="shared" si="91"/>
        <v>8193</v>
      </c>
      <c r="H385" s="63">
        <f t="shared" si="89"/>
        <v>242188</v>
      </c>
      <c r="I385" s="63">
        <f t="shared" si="89"/>
        <v>0</v>
      </c>
      <c r="J385" s="63">
        <f t="shared" si="89"/>
        <v>0</v>
      </c>
      <c r="K385" s="63">
        <f t="shared" si="92"/>
        <v>242188</v>
      </c>
      <c r="L385" s="63">
        <f t="shared" si="90"/>
        <v>38913</v>
      </c>
      <c r="M385" s="63">
        <f t="shared" si="90"/>
        <v>0</v>
      </c>
      <c r="N385" s="63">
        <f t="shared" si="90"/>
        <v>0</v>
      </c>
      <c r="O385" s="63">
        <f t="shared" si="93"/>
        <v>38913</v>
      </c>
      <c r="R385" s="62">
        <f t="shared" si="94"/>
        <v>289294</v>
      </c>
      <c r="S385" s="62"/>
      <c r="V385" s="62"/>
      <c r="W385" s="62"/>
      <c r="X385" s="62"/>
      <c r="Y385" s="62"/>
      <c r="Z385" s="62"/>
    </row>
    <row r="386" spans="1:34" ht="39.75" hidden="1" customHeight="1" x14ac:dyDescent="0.25">
      <c r="A386" s="56" t="s">
        <v>31</v>
      </c>
      <c r="B386" s="54" t="s">
        <v>1</v>
      </c>
      <c r="C386" s="55">
        <f t="shared" si="88"/>
        <v>217800</v>
      </c>
      <c r="D386" s="55">
        <f t="shared" si="88"/>
        <v>16200</v>
      </c>
      <c r="E386" s="55">
        <f t="shared" si="88"/>
        <v>0</v>
      </c>
      <c r="F386" s="55">
        <f t="shared" si="88"/>
        <v>0</v>
      </c>
      <c r="G386" s="55">
        <f t="shared" si="91"/>
        <v>16200</v>
      </c>
      <c r="H386" s="63">
        <f t="shared" si="89"/>
        <v>192814</v>
      </c>
      <c r="I386" s="63">
        <f t="shared" si="89"/>
        <v>0</v>
      </c>
      <c r="J386" s="63">
        <f t="shared" si="89"/>
        <v>0</v>
      </c>
      <c r="K386" s="63">
        <f t="shared" si="92"/>
        <v>192814</v>
      </c>
      <c r="L386" s="63">
        <f t="shared" si="90"/>
        <v>8786</v>
      </c>
      <c r="M386" s="63">
        <f t="shared" si="90"/>
        <v>0</v>
      </c>
      <c r="N386" s="63">
        <f t="shared" si="90"/>
        <v>0</v>
      </c>
      <c r="O386" s="63">
        <f t="shared" si="93"/>
        <v>8786</v>
      </c>
      <c r="R386" s="62">
        <f t="shared" si="94"/>
        <v>217800</v>
      </c>
      <c r="S386" s="62"/>
      <c r="V386" s="62"/>
      <c r="W386" s="62"/>
      <c r="X386" s="62"/>
      <c r="Y386" s="62"/>
      <c r="Z386" s="62"/>
    </row>
    <row r="387" spans="1:34" ht="33" hidden="1" customHeight="1" x14ac:dyDescent="0.25">
      <c r="A387" s="56" t="s">
        <v>32</v>
      </c>
      <c r="B387" s="54" t="s">
        <v>73</v>
      </c>
      <c r="C387" s="55">
        <f t="shared" si="88"/>
        <v>123735</v>
      </c>
      <c r="D387" s="55">
        <f t="shared" si="88"/>
        <v>24336</v>
      </c>
      <c r="E387" s="55">
        <f t="shared" si="88"/>
        <v>0</v>
      </c>
      <c r="F387" s="55">
        <f t="shared" si="88"/>
        <v>0</v>
      </c>
      <c r="G387" s="55">
        <f t="shared" si="91"/>
        <v>24336</v>
      </c>
      <c r="H387" s="63">
        <f t="shared" si="89"/>
        <v>79668</v>
      </c>
      <c r="I387" s="63">
        <f t="shared" si="89"/>
        <v>0</v>
      </c>
      <c r="J387" s="63">
        <f t="shared" si="89"/>
        <v>0</v>
      </c>
      <c r="K387" s="63">
        <f t="shared" si="92"/>
        <v>79668</v>
      </c>
      <c r="L387" s="63">
        <f t="shared" si="90"/>
        <v>19731</v>
      </c>
      <c r="M387" s="63">
        <f t="shared" si="90"/>
        <v>0</v>
      </c>
      <c r="N387" s="63">
        <f t="shared" si="90"/>
        <v>0</v>
      </c>
      <c r="O387" s="63">
        <f t="shared" si="93"/>
        <v>19731</v>
      </c>
      <c r="R387" s="62">
        <f t="shared" si="94"/>
        <v>123735</v>
      </c>
      <c r="S387" s="62"/>
      <c r="V387" s="62"/>
      <c r="W387" s="62"/>
      <c r="X387" s="62"/>
      <c r="Y387" s="62"/>
      <c r="Z387" s="62"/>
    </row>
    <row r="388" spans="1:34" ht="33" hidden="1" customHeight="1" x14ac:dyDescent="0.25">
      <c r="A388" s="56" t="s">
        <v>90</v>
      </c>
      <c r="B388" s="70" t="s">
        <v>91</v>
      </c>
      <c r="C388" s="55">
        <f t="shared" si="88"/>
        <v>184986</v>
      </c>
      <c r="D388" s="55">
        <f t="shared" si="88"/>
        <v>0</v>
      </c>
      <c r="E388" s="55">
        <f t="shared" si="88"/>
        <v>31308</v>
      </c>
      <c r="F388" s="55">
        <f t="shared" si="88"/>
        <v>0</v>
      </c>
      <c r="G388" s="55">
        <f t="shared" si="91"/>
        <v>31308</v>
      </c>
      <c r="H388" s="63">
        <f t="shared" si="89"/>
        <v>0</v>
      </c>
      <c r="I388" s="63">
        <f t="shared" si="89"/>
        <v>102918</v>
      </c>
      <c r="J388" s="63">
        <f t="shared" si="89"/>
        <v>0</v>
      </c>
      <c r="K388" s="63">
        <f t="shared" si="92"/>
        <v>102918</v>
      </c>
      <c r="L388" s="63">
        <f t="shared" si="90"/>
        <v>0</v>
      </c>
      <c r="M388" s="63">
        <f t="shared" si="90"/>
        <v>50760</v>
      </c>
      <c r="N388" s="63">
        <f t="shared" si="90"/>
        <v>0</v>
      </c>
      <c r="O388" s="63">
        <f t="shared" si="93"/>
        <v>50760</v>
      </c>
      <c r="R388" s="62">
        <f t="shared" si="94"/>
        <v>184986</v>
      </c>
      <c r="S388" s="62"/>
      <c r="V388" s="62"/>
      <c r="W388" s="62"/>
      <c r="X388" s="62"/>
      <c r="Y388" s="62"/>
      <c r="Z388" s="62"/>
    </row>
    <row r="389" spans="1:34" ht="25.5" hidden="1" customHeight="1" x14ac:dyDescent="0.25">
      <c r="A389" s="57"/>
      <c r="B389" s="57" t="s">
        <v>0</v>
      </c>
      <c r="C389" s="58">
        <f>C371+C373+C375+C377+C378+C381+C382+C383+C384</f>
        <v>46357997</v>
      </c>
      <c r="D389" s="58">
        <f t="shared" ref="D389:O389" si="95">D371+D373+D375+D377+D378+D381+D382+D383+D384</f>
        <v>1280741</v>
      </c>
      <c r="E389" s="58">
        <f t="shared" si="95"/>
        <v>3844954</v>
      </c>
      <c r="F389" s="58">
        <f>F371+F373+F375+F377+F378+F381+F382+F383+F384</f>
        <v>84663</v>
      </c>
      <c r="G389" s="58">
        <f t="shared" si="95"/>
        <v>5210358</v>
      </c>
      <c r="H389" s="58">
        <f t="shared" si="95"/>
        <v>10297326</v>
      </c>
      <c r="I389" s="58">
        <f>I371+I373+I375+I377+I378+I381+I382+I383+I384</f>
        <v>25467954</v>
      </c>
      <c r="J389" s="58">
        <f t="shared" si="95"/>
        <v>653259</v>
      </c>
      <c r="K389" s="58">
        <f t="shared" si="95"/>
        <v>36418539</v>
      </c>
      <c r="L389" s="58">
        <f t="shared" si="95"/>
        <v>1006768</v>
      </c>
      <c r="M389" s="58">
        <f>M371+M373+M375+M377+M378+M381+M382+M383+M384</f>
        <v>3665412</v>
      </c>
      <c r="N389" s="58">
        <f t="shared" si="95"/>
        <v>56920</v>
      </c>
      <c r="O389" s="58">
        <f t="shared" si="95"/>
        <v>4729100</v>
      </c>
      <c r="R389" s="62">
        <f t="shared" si="94"/>
        <v>46357997</v>
      </c>
      <c r="S389" s="62"/>
      <c r="V389" s="62"/>
      <c r="W389" s="62"/>
      <c r="X389" s="62"/>
      <c r="Y389" s="62"/>
      <c r="Z389" s="62"/>
    </row>
    <row r="390" spans="1:34" hidden="1" x14ac:dyDescent="0.25"/>
    <row r="391" spans="1:34" hidden="1" x14ac:dyDescent="0.25">
      <c r="A391" s="158" t="s">
        <v>95</v>
      </c>
      <c r="B391" s="158"/>
      <c r="C391" s="158"/>
      <c r="D391" s="158"/>
      <c r="E391" s="158"/>
      <c r="F391" s="158"/>
      <c r="G391" s="158"/>
      <c r="H391" s="158"/>
      <c r="I391" s="158"/>
      <c r="J391" s="158"/>
      <c r="K391" s="158"/>
      <c r="L391" s="158"/>
      <c r="M391" s="158"/>
      <c r="N391" s="158"/>
      <c r="O391" s="158"/>
    </row>
    <row r="392" spans="1:34" s="4" customFormat="1" ht="28.5" hidden="1" customHeight="1" x14ac:dyDescent="0.25">
      <c r="A392" s="152" t="s">
        <v>17</v>
      </c>
      <c r="B392" s="152" t="s">
        <v>33</v>
      </c>
      <c r="C392" s="160" t="s">
        <v>99</v>
      </c>
      <c r="D392" s="152" t="s">
        <v>69</v>
      </c>
      <c r="E392" s="152"/>
      <c r="F392" s="152"/>
      <c r="G392" s="152"/>
      <c r="H392" s="152"/>
      <c r="I392" s="152"/>
      <c r="J392" s="152"/>
      <c r="K392" s="152"/>
      <c r="L392" s="152"/>
      <c r="M392" s="152"/>
      <c r="N392" s="152"/>
      <c r="O392" s="152"/>
      <c r="R392" s="61"/>
      <c r="S392" s="61"/>
      <c r="V392" s="61"/>
      <c r="W392" s="61"/>
      <c r="X392" s="61"/>
      <c r="Y392" s="61"/>
      <c r="Z392" s="61"/>
      <c r="AC392" s="95"/>
      <c r="AD392" s="95"/>
      <c r="AE392" s="95"/>
      <c r="AF392" s="95"/>
      <c r="AG392" s="93"/>
      <c r="AH392" s="95"/>
    </row>
    <row r="393" spans="1:34" s="4" customFormat="1" ht="41.25" hidden="1" customHeight="1" x14ac:dyDescent="0.25">
      <c r="A393" s="152"/>
      <c r="B393" s="152"/>
      <c r="C393" s="160"/>
      <c r="D393" s="154" t="s">
        <v>36</v>
      </c>
      <c r="E393" s="154"/>
      <c r="F393" s="154"/>
      <c r="G393" s="154"/>
      <c r="H393" s="155" t="s">
        <v>37</v>
      </c>
      <c r="I393" s="156"/>
      <c r="J393" s="156"/>
      <c r="K393" s="157"/>
      <c r="L393" s="155" t="s">
        <v>38</v>
      </c>
      <c r="M393" s="156"/>
      <c r="N393" s="156"/>
      <c r="O393" s="157"/>
      <c r="R393" s="61"/>
      <c r="S393" s="61"/>
      <c r="V393" s="61"/>
      <c r="W393" s="61"/>
      <c r="X393" s="61"/>
      <c r="Y393" s="61"/>
      <c r="Z393" s="61"/>
      <c r="AC393" s="95"/>
      <c r="AD393" s="95"/>
      <c r="AE393" s="95"/>
      <c r="AF393" s="95"/>
      <c r="AG393" s="93"/>
      <c r="AH393" s="95"/>
    </row>
    <row r="394" spans="1:34" s="4" customFormat="1" ht="59.25" hidden="1" customHeight="1" x14ac:dyDescent="0.25">
      <c r="A394" s="152"/>
      <c r="B394" s="152"/>
      <c r="C394" s="160"/>
      <c r="D394" s="109" t="s">
        <v>66</v>
      </c>
      <c r="E394" s="109" t="s">
        <v>67</v>
      </c>
      <c r="F394" s="109" t="s">
        <v>68</v>
      </c>
      <c r="G394" s="109" t="s">
        <v>70</v>
      </c>
      <c r="H394" s="65" t="s">
        <v>66</v>
      </c>
      <c r="I394" s="65" t="s">
        <v>67</v>
      </c>
      <c r="J394" s="65" t="s">
        <v>68</v>
      </c>
      <c r="K394" s="65" t="s">
        <v>71</v>
      </c>
      <c r="L394" s="65" t="s">
        <v>66</v>
      </c>
      <c r="M394" s="65" t="s">
        <v>67</v>
      </c>
      <c r="N394" s="65" t="s">
        <v>68</v>
      </c>
      <c r="O394" s="65" t="s">
        <v>72</v>
      </c>
      <c r="R394" s="61"/>
      <c r="S394" s="61"/>
      <c r="V394" s="61"/>
      <c r="W394" s="61"/>
      <c r="X394" s="61"/>
      <c r="Y394" s="61"/>
      <c r="Z394" s="61"/>
      <c r="AC394" s="95"/>
      <c r="AD394" s="95"/>
      <c r="AE394" s="95"/>
      <c r="AF394" s="95"/>
      <c r="AG394" s="93"/>
      <c r="AH394" s="95"/>
    </row>
    <row r="395" spans="1:34" s="3" customFormat="1" ht="14.25" hidden="1" customHeight="1" x14ac:dyDescent="0.25">
      <c r="A395" s="53">
        <v>1</v>
      </c>
      <c r="B395" s="53">
        <v>2</v>
      </c>
      <c r="C395" s="53">
        <v>3</v>
      </c>
      <c r="D395" s="53">
        <v>4</v>
      </c>
      <c r="E395" s="53">
        <v>5</v>
      </c>
      <c r="F395" s="53">
        <v>6</v>
      </c>
      <c r="G395" s="53">
        <v>7</v>
      </c>
      <c r="H395" s="66">
        <v>8</v>
      </c>
      <c r="I395" s="66">
        <v>9</v>
      </c>
      <c r="J395" s="66">
        <v>10</v>
      </c>
      <c r="K395" s="66">
        <v>11</v>
      </c>
      <c r="L395" s="66">
        <v>12</v>
      </c>
      <c r="M395" s="66">
        <v>13</v>
      </c>
      <c r="N395" s="66">
        <v>14</v>
      </c>
      <c r="O395" s="66">
        <v>15</v>
      </c>
      <c r="R395" s="61"/>
      <c r="S395" s="61"/>
      <c r="V395" s="61"/>
      <c r="W395" s="61"/>
      <c r="X395" s="61"/>
      <c r="Y395" s="61"/>
      <c r="Z395" s="61"/>
      <c r="AC395" s="95"/>
      <c r="AD395" s="95"/>
      <c r="AE395" s="95"/>
      <c r="AF395" s="95"/>
      <c r="AG395" s="94"/>
      <c r="AH395" s="95"/>
    </row>
    <row r="396" spans="1:34" s="3" customFormat="1" ht="25.5" hidden="1" customHeight="1" x14ac:dyDescent="0.25">
      <c r="A396" s="53" t="s">
        <v>16</v>
      </c>
      <c r="B396" s="54" t="s">
        <v>15</v>
      </c>
      <c r="C396" s="63">
        <f t="shared" ref="C396:F409" si="96">C200+C224+C249+C298+C322+C347</f>
        <v>25391846</v>
      </c>
      <c r="D396" s="63">
        <f t="shared" si="96"/>
        <v>625556</v>
      </c>
      <c r="E396" s="63">
        <f t="shared" si="96"/>
        <v>3336331</v>
      </c>
      <c r="F396" s="63">
        <f t="shared" si="96"/>
        <v>0</v>
      </c>
      <c r="G396" s="55">
        <f>D396+E396+F396</f>
        <v>3961887</v>
      </c>
      <c r="H396" s="63">
        <f t="shared" ref="H396:J409" si="97">H200+H224+H249+H298+H322+H347</f>
        <v>2637735</v>
      </c>
      <c r="I396" s="63">
        <f t="shared" si="97"/>
        <v>14068070</v>
      </c>
      <c r="J396" s="63">
        <f t="shared" si="97"/>
        <v>0</v>
      </c>
      <c r="K396" s="63">
        <f>H396+I396+J396</f>
        <v>16705805</v>
      </c>
      <c r="L396" s="63">
        <f t="shared" ref="L396:N409" si="98">L200+L224+L249+L298+L322+L347</f>
        <v>745913</v>
      </c>
      <c r="M396" s="63">
        <f t="shared" si="98"/>
        <v>3978241</v>
      </c>
      <c r="N396" s="63">
        <f t="shared" si="98"/>
        <v>0</v>
      </c>
      <c r="O396" s="63">
        <f>L396+M396+N396</f>
        <v>4724154</v>
      </c>
      <c r="R396" s="62">
        <f>G396+K396+O396</f>
        <v>25391846</v>
      </c>
      <c r="S396" s="62"/>
      <c r="V396" s="102"/>
      <c r="W396" s="102"/>
      <c r="X396" s="102"/>
      <c r="Y396" s="102"/>
      <c r="Z396" s="102"/>
      <c r="AC396" s="98"/>
      <c r="AD396" s="98"/>
      <c r="AE396" s="98"/>
      <c r="AF396" s="98"/>
      <c r="AG396" s="96"/>
      <c r="AH396" s="95"/>
    </row>
    <row r="397" spans="1:34" ht="40.5" hidden="1" customHeight="1" x14ac:dyDescent="0.25">
      <c r="A397" s="56" t="s">
        <v>24</v>
      </c>
      <c r="B397" s="54" t="s">
        <v>14</v>
      </c>
      <c r="C397" s="63">
        <f t="shared" si="96"/>
        <v>1711896</v>
      </c>
      <c r="D397" s="63">
        <f t="shared" si="96"/>
        <v>188496</v>
      </c>
      <c r="E397" s="63">
        <f t="shared" si="96"/>
        <v>161114</v>
      </c>
      <c r="F397" s="63">
        <f t="shared" si="96"/>
        <v>5129</v>
      </c>
      <c r="G397" s="55">
        <f t="shared" ref="G397:G411" si="99">D397+E397+F397</f>
        <v>354739</v>
      </c>
      <c r="H397" s="63">
        <f t="shared" si="97"/>
        <v>553955</v>
      </c>
      <c r="I397" s="63">
        <f t="shared" si="97"/>
        <v>473484</v>
      </c>
      <c r="J397" s="63">
        <f t="shared" si="97"/>
        <v>15071</v>
      </c>
      <c r="K397" s="63">
        <f t="shared" ref="K397:K413" si="100">H397+I397+J397</f>
        <v>1042510</v>
      </c>
      <c r="L397" s="63">
        <f t="shared" si="98"/>
        <v>167192</v>
      </c>
      <c r="M397" s="63">
        <f t="shared" si="98"/>
        <v>142906</v>
      </c>
      <c r="N397" s="63">
        <f t="shared" si="98"/>
        <v>4549</v>
      </c>
      <c r="O397" s="63">
        <f t="shared" ref="O397:O413" si="101">L397+M397+N397</f>
        <v>314647</v>
      </c>
      <c r="R397" s="62">
        <f t="shared" ref="R397:R414" si="102">G397+K397+O397</f>
        <v>1711896</v>
      </c>
      <c r="S397" s="62"/>
      <c r="V397" s="62"/>
      <c r="W397" s="62"/>
      <c r="X397" s="62"/>
      <c r="Y397" s="62"/>
      <c r="Z397" s="62"/>
      <c r="AC397" s="98"/>
      <c r="AD397" s="98"/>
      <c r="AE397" s="98"/>
      <c r="AF397" s="98"/>
      <c r="AG397" s="96"/>
    </row>
    <row r="398" spans="1:34" ht="34.5" hidden="1" customHeight="1" x14ac:dyDescent="0.25">
      <c r="A398" s="56" t="s">
        <v>24</v>
      </c>
      <c r="B398" s="54" t="s">
        <v>13</v>
      </c>
      <c r="C398" s="63">
        <f t="shared" si="96"/>
        <v>8598799</v>
      </c>
      <c r="D398" s="63">
        <f t="shared" si="96"/>
        <v>0</v>
      </c>
      <c r="E398" s="63">
        <f t="shared" si="96"/>
        <v>487381</v>
      </c>
      <c r="F398" s="63">
        <f t="shared" si="96"/>
        <v>0</v>
      </c>
      <c r="G398" s="55">
        <f t="shared" si="99"/>
        <v>487381</v>
      </c>
      <c r="H398" s="63">
        <f t="shared" si="97"/>
        <v>0</v>
      </c>
      <c r="I398" s="63">
        <f t="shared" si="97"/>
        <v>7224282</v>
      </c>
      <c r="J398" s="63">
        <f t="shared" si="97"/>
        <v>0</v>
      </c>
      <c r="K398" s="63">
        <f t="shared" si="100"/>
        <v>7224282</v>
      </c>
      <c r="L398" s="63">
        <f t="shared" si="98"/>
        <v>0</v>
      </c>
      <c r="M398" s="63">
        <f t="shared" si="98"/>
        <v>887136</v>
      </c>
      <c r="N398" s="63">
        <f t="shared" si="98"/>
        <v>0</v>
      </c>
      <c r="O398" s="63">
        <f t="shared" si="101"/>
        <v>887136</v>
      </c>
      <c r="R398" s="62">
        <f t="shared" si="102"/>
        <v>8598799</v>
      </c>
      <c r="S398" s="62"/>
      <c r="V398" s="102"/>
      <c r="W398" s="102"/>
      <c r="X398" s="102"/>
      <c r="Y398" s="102"/>
      <c r="Z398" s="102"/>
      <c r="AC398" s="98"/>
      <c r="AD398" s="98"/>
      <c r="AE398" s="98"/>
      <c r="AF398" s="98"/>
      <c r="AG398" s="96"/>
    </row>
    <row r="399" spans="1:34" ht="40.5" hidden="1" customHeight="1" x14ac:dyDescent="0.25">
      <c r="A399" s="56" t="s">
        <v>22</v>
      </c>
      <c r="B399" s="54" t="s">
        <v>12</v>
      </c>
      <c r="C399" s="63">
        <f t="shared" si="96"/>
        <v>1004875</v>
      </c>
      <c r="D399" s="63">
        <f t="shared" si="96"/>
        <v>115591</v>
      </c>
      <c r="E399" s="63">
        <f t="shared" si="96"/>
        <v>0</v>
      </c>
      <c r="F399" s="63">
        <f t="shared" si="96"/>
        <v>0</v>
      </c>
      <c r="G399" s="55">
        <f t="shared" si="99"/>
        <v>115591</v>
      </c>
      <c r="H399" s="63">
        <f t="shared" si="97"/>
        <v>751766</v>
      </c>
      <c r="I399" s="63">
        <f t="shared" si="97"/>
        <v>0</v>
      </c>
      <c r="J399" s="63">
        <f t="shared" si="97"/>
        <v>0</v>
      </c>
      <c r="K399" s="63">
        <f t="shared" si="100"/>
        <v>751766</v>
      </c>
      <c r="L399" s="63">
        <f t="shared" si="98"/>
        <v>137518</v>
      </c>
      <c r="M399" s="63">
        <f t="shared" si="98"/>
        <v>0</v>
      </c>
      <c r="N399" s="63">
        <f t="shared" si="98"/>
        <v>0</v>
      </c>
      <c r="O399" s="63">
        <f t="shared" si="101"/>
        <v>137518</v>
      </c>
      <c r="R399" s="62">
        <f t="shared" si="102"/>
        <v>1004875</v>
      </c>
      <c r="S399" s="62"/>
      <c r="V399" s="62"/>
      <c r="W399" s="62"/>
      <c r="X399" s="62"/>
      <c r="Y399" s="62"/>
      <c r="Z399" s="62"/>
      <c r="AC399" s="98"/>
      <c r="AD399" s="98"/>
      <c r="AE399" s="98"/>
      <c r="AF399" s="98"/>
      <c r="AG399" s="96"/>
    </row>
    <row r="400" spans="1:34" ht="39.75" hidden="1" customHeight="1" x14ac:dyDescent="0.25">
      <c r="A400" s="56" t="s">
        <v>23</v>
      </c>
      <c r="B400" s="54" t="s">
        <v>11</v>
      </c>
      <c r="C400" s="63">
        <f t="shared" si="96"/>
        <v>1101287</v>
      </c>
      <c r="D400" s="63">
        <f t="shared" si="96"/>
        <v>43075</v>
      </c>
      <c r="E400" s="63">
        <f t="shared" si="96"/>
        <v>68199</v>
      </c>
      <c r="F400" s="63">
        <f t="shared" si="96"/>
        <v>29523</v>
      </c>
      <c r="G400" s="55">
        <f t="shared" si="99"/>
        <v>140797</v>
      </c>
      <c r="H400" s="63">
        <f t="shared" si="97"/>
        <v>228506</v>
      </c>
      <c r="I400" s="63">
        <f t="shared" si="97"/>
        <v>361783</v>
      </c>
      <c r="J400" s="63">
        <f t="shared" si="97"/>
        <v>156615</v>
      </c>
      <c r="K400" s="63">
        <f t="shared" si="100"/>
        <v>746904</v>
      </c>
      <c r="L400" s="63">
        <f t="shared" si="98"/>
        <v>65342</v>
      </c>
      <c r="M400" s="63">
        <f t="shared" si="98"/>
        <v>103456</v>
      </c>
      <c r="N400" s="63">
        <f t="shared" si="98"/>
        <v>44788</v>
      </c>
      <c r="O400" s="63">
        <f t="shared" si="101"/>
        <v>213586</v>
      </c>
      <c r="R400" s="62">
        <f t="shared" si="102"/>
        <v>1101287</v>
      </c>
      <c r="S400" s="62"/>
      <c r="V400" s="102"/>
      <c r="W400" s="102"/>
      <c r="X400" s="102"/>
      <c r="Y400" s="102"/>
      <c r="Z400" s="102"/>
      <c r="AC400" s="98"/>
      <c r="AD400" s="98"/>
      <c r="AE400" s="98"/>
      <c r="AF400" s="98"/>
      <c r="AG400" s="96"/>
    </row>
    <row r="401" spans="1:34" hidden="1" x14ac:dyDescent="0.25">
      <c r="A401" s="56" t="s">
        <v>20</v>
      </c>
      <c r="B401" s="54" t="s">
        <v>34</v>
      </c>
      <c r="C401" s="63">
        <f t="shared" si="96"/>
        <v>1483843</v>
      </c>
      <c r="D401" s="63">
        <f t="shared" si="96"/>
        <v>277746</v>
      </c>
      <c r="E401" s="63">
        <f t="shared" si="96"/>
        <v>0</v>
      </c>
      <c r="F401" s="63">
        <f t="shared" si="96"/>
        <v>0</v>
      </c>
      <c r="G401" s="55">
        <f t="shared" si="99"/>
        <v>277746</v>
      </c>
      <c r="H401" s="63">
        <f t="shared" si="97"/>
        <v>906584</v>
      </c>
      <c r="I401" s="63">
        <f t="shared" si="97"/>
        <v>0</v>
      </c>
      <c r="J401" s="63">
        <f t="shared" si="97"/>
        <v>0</v>
      </c>
      <c r="K401" s="63">
        <f t="shared" si="100"/>
        <v>906584</v>
      </c>
      <c r="L401" s="63">
        <f t="shared" si="98"/>
        <v>299513</v>
      </c>
      <c r="M401" s="63">
        <f t="shared" si="98"/>
        <v>0</v>
      </c>
      <c r="N401" s="63">
        <f t="shared" si="98"/>
        <v>0</v>
      </c>
      <c r="O401" s="63">
        <f t="shared" si="101"/>
        <v>299513</v>
      </c>
      <c r="R401" s="62">
        <f t="shared" si="102"/>
        <v>1483843</v>
      </c>
      <c r="S401" s="62"/>
      <c r="V401" s="62"/>
      <c r="W401" s="62"/>
      <c r="X401" s="62"/>
      <c r="Y401" s="62"/>
      <c r="Z401" s="62"/>
      <c r="AC401" s="98"/>
      <c r="AD401" s="98"/>
      <c r="AE401" s="98"/>
      <c r="AF401" s="98"/>
      <c r="AG401" s="96"/>
      <c r="AH401"/>
    </row>
    <row r="402" spans="1:34" ht="30" hidden="1" x14ac:dyDescent="0.25">
      <c r="A402" s="56" t="s">
        <v>22</v>
      </c>
      <c r="B402" s="54" t="s">
        <v>10</v>
      </c>
      <c r="C402" s="63">
        <f t="shared" si="96"/>
        <v>5766258</v>
      </c>
      <c r="D402" s="63">
        <f t="shared" si="96"/>
        <v>125246</v>
      </c>
      <c r="E402" s="63">
        <f t="shared" si="96"/>
        <v>163826</v>
      </c>
      <c r="F402" s="63">
        <f t="shared" si="96"/>
        <v>7715</v>
      </c>
      <c r="G402" s="55">
        <f t="shared" si="99"/>
        <v>296787</v>
      </c>
      <c r="H402" s="63">
        <f t="shared" si="97"/>
        <v>1947988</v>
      </c>
      <c r="I402" s="63">
        <f t="shared" si="97"/>
        <v>2548004</v>
      </c>
      <c r="J402" s="63">
        <f t="shared" si="97"/>
        <v>120014</v>
      </c>
      <c r="K402" s="63">
        <f t="shared" si="100"/>
        <v>4616006</v>
      </c>
      <c r="L402" s="63">
        <f t="shared" si="98"/>
        <v>360170</v>
      </c>
      <c r="M402" s="63">
        <f t="shared" si="98"/>
        <v>471107</v>
      </c>
      <c r="N402" s="63">
        <f t="shared" si="98"/>
        <v>22188</v>
      </c>
      <c r="O402" s="63">
        <f t="shared" si="101"/>
        <v>853465</v>
      </c>
      <c r="R402" s="62">
        <f t="shared" si="102"/>
        <v>5766258</v>
      </c>
      <c r="S402" s="62"/>
      <c r="V402" s="102"/>
      <c r="W402" s="102"/>
      <c r="X402" s="102"/>
      <c r="Y402" s="102"/>
      <c r="Z402" s="102"/>
      <c r="AC402" s="98"/>
      <c r="AD402" s="98"/>
      <c r="AE402" s="98"/>
      <c r="AF402" s="98"/>
      <c r="AG402" s="96"/>
      <c r="AH402"/>
    </row>
    <row r="403" spans="1:34" hidden="1" x14ac:dyDescent="0.25">
      <c r="A403" s="56" t="s">
        <v>21</v>
      </c>
      <c r="B403" s="54" t="s">
        <v>9</v>
      </c>
      <c r="C403" s="63">
        <f t="shared" si="96"/>
        <v>5756133</v>
      </c>
      <c r="D403" s="63">
        <f t="shared" si="96"/>
        <v>476641</v>
      </c>
      <c r="E403" s="63">
        <f t="shared" si="96"/>
        <v>891701</v>
      </c>
      <c r="F403" s="63">
        <f t="shared" si="96"/>
        <v>18083</v>
      </c>
      <c r="G403" s="55">
        <f t="shared" si="99"/>
        <v>1386425</v>
      </c>
      <c r="H403" s="63">
        <f t="shared" si="97"/>
        <v>1489335</v>
      </c>
      <c r="I403" s="63">
        <f t="shared" si="97"/>
        <v>2786232</v>
      </c>
      <c r="J403" s="63">
        <f t="shared" si="97"/>
        <v>56497</v>
      </c>
      <c r="K403" s="63">
        <f t="shared" si="100"/>
        <v>4332064</v>
      </c>
      <c r="L403" s="63">
        <f t="shared" si="98"/>
        <v>12942</v>
      </c>
      <c r="M403" s="63">
        <f t="shared" si="98"/>
        <v>24212</v>
      </c>
      <c r="N403" s="63">
        <f t="shared" si="98"/>
        <v>490</v>
      </c>
      <c r="O403" s="63">
        <f t="shared" si="101"/>
        <v>37644</v>
      </c>
      <c r="R403" s="62">
        <f t="shared" si="102"/>
        <v>5756133</v>
      </c>
      <c r="S403" s="62"/>
      <c r="V403" s="102"/>
      <c r="W403" s="102"/>
      <c r="X403" s="102"/>
      <c r="Y403" s="102"/>
      <c r="Z403" s="102"/>
      <c r="AC403" s="98"/>
      <c r="AD403" s="98"/>
      <c r="AE403" s="98"/>
      <c r="AF403" s="98"/>
      <c r="AG403" s="96"/>
      <c r="AH403"/>
    </row>
    <row r="404" spans="1:34" hidden="1" x14ac:dyDescent="0.25">
      <c r="A404" s="56" t="s">
        <v>25</v>
      </c>
      <c r="B404" s="54" t="s">
        <v>8</v>
      </c>
      <c r="C404" s="63">
        <f t="shared" si="96"/>
        <v>6783289</v>
      </c>
      <c r="D404" s="63">
        <f t="shared" si="96"/>
        <v>46153</v>
      </c>
      <c r="E404" s="63">
        <f t="shared" si="96"/>
        <v>221787</v>
      </c>
      <c r="F404" s="63">
        <f t="shared" si="96"/>
        <v>0</v>
      </c>
      <c r="G404" s="55">
        <f t="shared" si="99"/>
        <v>267940</v>
      </c>
      <c r="H404" s="63">
        <f t="shared" si="97"/>
        <v>749039</v>
      </c>
      <c r="I404" s="63">
        <f t="shared" si="97"/>
        <v>3599592</v>
      </c>
      <c r="J404" s="63">
        <f t="shared" si="97"/>
        <v>0</v>
      </c>
      <c r="K404" s="63">
        <f t="shared" si="100"/>
        <v>4348631</v>
      </c>
      <c r="L404" s="63">
        <f t="shared" si="98"/>
        <v>373211</v>
      </c>
      <c r="M404" s="63">
        <f t="shared" si="98"/>
        <v>1793507</v>
      </c>
      <c r="N404" s="63">
        <f t="shared" si="98"/>
        <v>0</v>
      </c>
      <c r="O404" s="63">
        <f t="shared" si="101"/>
        <v>2166718</v>
      </c>
      <c r="R404" s="62">
        <f t="shared" si="102"/>
        <v>6783289</v>
      </c>
      <c r="S404" s="62"/>
      <c r="V404" s="62"/>
      <c r="W404" s="62"/>
      <c r="X404" s="62"/>
      <c r="Y404" s="62"/>
      <c r="Z404" s="62"/>
      <c r="AC404" s="98"/>
      <c r="AD404" s="98"/>
      <c r="AE404" s="98"/>
      <c r="AF404" s="98"/>
      <c r="AG404" s="96"/>
      <c r="AH404"/>
    </row>
    <row r="405" spans="1:34" hidden="1" x14ac:dyDescent="0.25">
      <c r="A405" s="56" t="s">
        <v>26</v>
      </c>
      <c r="B405" s="54" t="s">
        <v>7</v>
      </c>
      <c r="C405" s="63">
        <f t="shared" si="96"/>
        <v>4285733</v>
      </c>
      <c r="D405" s="63">
        <f t="shared" si="96"/>
        <v>9940</v>
      </c>
      <c r="E405" s="63">
        <f t="shared" si="96"/>
        <v>68361</v>
      </c>
      <c r="F405" s="63">
        <f t="shared" si="96"/>
        <v>0</v>
      </c>
      <c r="G405" s="55">
        <f t="shared" si="99"/>
        <v>78301</v>
      </c>
      <c r="H405" s="63">
        <f t="shared" si="97"/>
        <v>485582</v>
      </c>
      <c r="I405" s="63">
        <f t="shared" si="97"/>
        <v>3339777</v>
      </c>
      <c r="J405" s="63">
        <f t="shared" si="97"/>
        <v>0</v>
      </c>
      <c r="K405" s="63">
        <f t="shared" si="100"/>
        <v>3825359</v>
      </c>
      <c r="L405" s="63">
        <f t="shared" si="98"/>
        <v>48500</v>
      </c>
      <c r="M405" s="63">
        <f t="shared" si="98"/>
        <v>333573</v>
      </c>
      <c r="N405" s="63">
        <f t="shared" si="98"/>
        <v>0</v>
      </c>
      <c r="O405" s="63">
        <f t="shared" si="101"/>
        <v>382073</v>
      </c>
      <c r="R405" s="62">
        <f t="shared" si="102"/>
        <v>4285733</v>
      </c>
      <c r="S405" s="62"/>
      <c r="V405" s="62"/>
      <c r="W405" s="62"/>
      <c r="X405" s="62"/>
      <c r="Y405" s="62"/>
      <c r="Z405" s="62"/>
      <c r="AC405" s="98"/>
      <c r="AD405" s="98"/>
      <c r="AE405" s="98"/>
      <c r="AF405" s="98"/>
      <c r="AG405" s="96"/>
      <c r="AH405"/>
    </row>
    <row r="406" spans="1:34" hidden="1" x14ac:dyDescent="0.25">
      <c r="A406" s="56" t="s">
        <v>20</v>
      </c>
      <c r="B406" s="54" t="s">
        <v>6</v>
      </c>
      <c r="C406" s="63">
        <f t="shared" si="96"/>
        <v>6682453</v>
      </c>
      <c r="D406" s="63">
        <f t="shared" si="96"/>
        <v>25268</v>
      </c>
      <c r="E406" s="63">
        <f t="shared" si="96"/>
        <v>20670</v>
      </c>
      <c r="F406" s="63">
        <f t="shared" si="96"/>
        <v>638</v>
      </c>
      <c r="G406" s="55">
        <f t="shared" si="99"/>
        <v>46576</v>
      </c>
      <c r="H406" s="63">
        <f t="shared" si="97"/>
        <v>3594512</v>
      </c>
      <c r="I406" s="63">
        <f t="shared" si="97"/>
        <v>2940548</v>
      </c>
      <c r="J406" s="63">
        <f t="shared" si="97"/>
        <v>90792</v>
      </c>
      <c r="K406" s="63">
        <f t="shared" si="100"/>
        <v>6625852</v>
      </c>
      <c r="L406" s="63">
        <f t="shared" si="98"/>
        <v>5438</v>
      </c>
      <c r="M406" s="63">
        <f t="shared" si="98"/>
        <v>4450</v>
      </c>
      <c r="N406" s="63">
        <f t="shared" si="98"/>
        <v>137</v>
      </c>
      <c r="O406" s="63">
        <f t="shared" si="101"/>
        <v>10025</v>
      </c>
      <c r="R406" s="62">
        <f t="shared" si="102"/>
        <v>6682453</v>
      </c>
      <c r="S406" s="62"/>
      <c r="V406" s="102"/>
      <c r="W406" s="102"/>
      <c r="X406" s="102"/>
      <c r="Y406" s="102"/>
      <c r="Z406" s="102"/>
      <c r="AC406" s="98"/>
      <c r="AD406" s="98"/>
      <c r="AE406" s="98"/>
      <c r="AF406" s="98"/>
      <c r="AG406" s="96"/>
      <c r="AH406"/>
    </row>
    <row r="407" spans="1:34" hidden="1" x14ac:dyDescent="0.25">
      <c r="A407" s="56" t="s">
        <v>19</v>
      </c>
      <c r="B407" s="54" t="s">
        <v>5</v>
      </c>
      <c r="C407" s="63">
        <f t="shared" si="96"/>
        <v>7913290</v>
      </c>
      <c r="D407" s="63">
        <f t="shared" si="96"/>
        <v>277397</v>
      </c>
      <c r="E407" s="63">
        <f t="shared" si="96"/>
        <v>773109</v>
      </c>
      <c r="F407" s="63">
        <f t="shared" si="96"/>
        <v>44295</v>
      </c>
      <c r="G407" s="55">
        <f t="shared" si="99"/>
        <v>1094801</v>
      </c>
      <c r="H407" s="63">
        <f t="shared" si="97"/>
        <v>1710821</v>
      </c>
      <c r="I407" s="63">
        <f t="shared" si="97"/>
        <v>4768067</v>
      </c>
      <c r="J407" s="63">
        <f t="shared" si="97"/>
        <v>273206</v>
      </c>
      <c r="K407" s="63">
        <f t="shared" si="100"/>
        <v>6752094</v>
      </c>
      <c r="L407" s="63">
        <f t="shared" si="98"/>
        <v>16821</v>
      </c>
      <c r="M407" s="63">
        <f t="shared" si="98"/>
        <v>46883</v>
      </c>
      <c r="N407" s="63">
        <f t="shared" si="98"/>
        <v>2691</v>
      </c>
      <c r="O407" s="63">
        <f t="shared" si="101"/>
        <v>66395</v>
      </c>
      <c r="R407" s="62">
        <f t="shared" si="102"/>
        <v>7913290</v>
      </c>
      <c r="S407" s="62"/>
      <c r="V407" s="102"/>
      <c r="W407" s="102"/>
      <c r="X407" s="102"/>
      <c r="Y407" s="102"/>
      <c r="Z407" s="102"/>
      <c r="AC407" s="98"/>
      <c r="AD407" s="98"/>
      <c r="AE407" s="98"/>
      <c r="AF407" s="98"/>
      <c r="AG407" s="96"/>
      <c r="AH407"/>
    </row>
    <row r="408" spans="1:34" hidden="1" x14ac:dyDescent="0.25">
      <c r="A408" s="56" t="s">
        <v>18</v>
      </c>
      <c r="B408" s="54" t="s">
        <v>4</v>
      </c>
      <c r="C408" s="63">
        <f t="shared" si="96"/>
        <v>6784214</v>
      </c>
      <c r="D408" s="63">
        <f t="shared" si="96"/>
        <v>131556</v>
      </c>
      <c r="E408" s="63">
        <f t="shared" si="96"/>
        <v>221691</v>
      </c>
      <c r="F408" s="63">
        <f t="shared" si="96"/>
        <v>9168</v>
      </c>
      <c r="G408" s="55">
        <f t="shared" si="99"/>
        <v>362415</v>
      </c>
      <c r="H408" s="63">
        <f t="shared" si="97"/>
        <v>2254080</v>
      </c>
      <c r="I408" s="63">
        <f t="shared" si="97"/>
        <v>3798506</v>
      </c>
      <c r="J408" s="63">
        <f t="shared" si="97"/>
        <v>157072</v>
      </c>
      <c r="K408" s="63">
        <f t="shared" si="100"/>
        <v>6209658</v>
      </c>
      <c r="L408" s="63">
        <f t="shared" si="98"/>
        <v>77005</v>
      </c>
      <c r="M408" s="63">
        <f t="shared" si="98"/>
        <v>129770</v>
      </c>
      <c r="N408" s="63">
        <f t="shared" si="98"/>
        <v>5366</v>
      </c>
      <c r="O408" s="63">
        <f t="shared" si="101"/>
        <v>212141</v>
      </c>
      <c r="R408" s="62">
        <f t="shared" si="102"/>
        <v>6784214</v>
      </c>
      <c r="S408" s="62"/>
      <c r="V408" s="102"/>
      <c r="W408" s="102"/>
      <c r="X408" s="102"/>
      <c r="Y408" s="102"/>
      <c r="Z408" s="102"/>
      <c r="AC408" s="98"/>
      <c r="AD408" s="98"/>
      <c r="AE408" s="98"/>
      <c r="AF408" s="98"/>
      <c r="AG408" s="96"/>
      <c r="AH408"/>
    </row>
    <row r="409" spans="1:34" hidden="1" x14ac:dyDescent="0.25">
      <c r="A409" s="56" t="s">
        <v>25</v>
      </c>
      <c r="B409" s="54" t="s">
        <v>3</v>
      </c>
      <c r="C409" s="63">
        <f t="shared" si="96"/>
        <v>5661058</v>
      </c>
      <c r="D409" s="63">
        <f t="shared" si="96"/>
        <v>271339</v>
      </c>
      <c r="E409" s="63">
        <f t="shared" si="96"/>
        <v>133580</v>
      </c>
      <c r="F409" s="63">
        <f t="shared" si="96"/>
        <v>12528</v>
      </c>
      <c r="G409" s="55">
        <f t="shared" si="99"/>
        <v>417447</v>
      </c>
      <c r="H409" s="63">
        <f t="shared" si="97"/>
        <v>3031687</v>
      </c>
      <c r="I409" s="63">
        <f t="shared" si="97"/>
        <v>1492504</v>
      </c>
      <c r="J409" s="63">
        <f t="shared" si="97"/>
        <v>139955</v>
      </c>
      <c r="K409" s="63">
        <f t="shared" si="100"/>
        <v>4664146</v>
      </c>
      <c r="L409" s="63">
        <f t="shared" si="98"/>
        <v>376650</v>
      </c>
      <c r="M409" s="63">
        <f t="shared" si="98"/>
        <v>185427</v>
      </c>
      <c r="N409" s="63">
        <f t="shared" si="98"/>
        <v>17388</v>
      </c>
      <c r="O409" s="63">
        <f t="shared" si="101"/>
        <v>579465</v>
      </c>
      <c r="R409" s="62">
        <f t="shared" si="102"/>
        <v>5661058</v>
      </c>
      <c r="S409" s="62"/>
      <c r="V409" s="102"/>
      <c r="W409" s="102"/>
      <c r="X409" s="102"/>
      <c r="Y409" s="102"/>
      <c r="Z409" s="102"/>
      <c r="AC409" s="98"/>
      <c r="AD409" s="98"/>
      <c r="AE409" s="98"/>
      <c r="AF409" s="98"/>
      <c r="AG409" s="96"/>
      <c r="AH409"/>
    </row>
    <row r="410" spans="1:34" ht="45" hidden="1" x14ac:dyDescent="0.25">
      <c r="A410" s="56" t="s">
        <v>30</v>
      </c>
      <c r="B410" s="54" t="s">
        <v>2</v>
      </c>
      <c r="C410" s="63">
        <f t="shared" ref="C410:F413" si="103">C128+C224+C321+C445</f>
        <v>4846350</v>
      </c>
      <c r="D410" s="55">
        <f t="shared" si="103"/>
        <v>155149</v>
      </c>
      <c r="E410" s="55">
        <f t="shared" si="103"/>
        <v>601034</v>
      </c>
      <c r="F410" s="55">
        <f t="shared" si="103"/>
        <v>6</v>
      </c>
      <c r="G410" s="55">
        <f t="shared" si="99"/>
        <v>756189</v>
      </c>
      <c r="H410" s="63">
        <f t="shared" ref="H410:J413" si="104">H128+H224+H321+H445</f>
        <v>654200</v>
      </c>
      <c r="I410" s="63">
        <f t="shared" si="104"/>
        <v>2534327</v>
      </c>
      <c r="J410" s="63">
        <f t="shared" si="104"/>
        <v>10</v>
      </c>
      <c r="K410" s="63">
        <f t="shared" si="100"/>
        <v>3188537</v>
      </c>
      <c r="L410" s="63">
        <f t="shared" ref="L410:N413" si="105">L128+L224+L321+L445</f>
        <v>185008</v>
      </c>
      <c r="M410" s="63">
        <f t="shared" si="105"/>
        <v>716680</v>
      </c>
      <c r="N410" s="63">
        <f t="shared" si="105"/>
        <v>14</v>
      </c>
      <c r="O410" s="63">
        <f t="shared" si="101"/>
        <v>901702</v>
      </c>
      <c r="R410" s="62">
        <f t="shared" si="102"/>
        <v>4846428</v>
      </c>
      <c r="S410" s="62"/>
      <c r="V410" s="62"/>
      <c r="W410" s="62"/>
      <c r="X410" s="62"/>
      <c r="Y410" s="62"/>
      <c r="Z410" s="62"/>
      <c r="AC410" s="98"/>
      <c r="AD410" s="98"/>
      <c r="AE410" s="98"/>
      <c r="AF410" s="98"/>
      <c r="AH410"/>
    </row>
    <row r="411" spans="1:34" ht="30" hidden="1" x14ac:dyDescent="0.25">
      <c r="A411" s="56" t="s">
        <v>31</v>
      </c>
      <c r="B411" s="54" t="s">
        <v>1</v>
      </c>
      <c r="C411" s="63">
        <f t="shared" si="103"/>
        <v>4986677</v>
      </c>
      <c r="D411" s="55">
        <f t="shared" si="103"/>
        <v>189769</v>
      </c>
      <c r="E411" s="55">
        <f t="shared" si="103"/>
        <v>614514</v>
      </c>
      <c r="F411" s="55">
        <f t="shared" si="103"/>
        <v>1712</v>
      </c>
      <c r="G411" s="55">
        <f t="shared" si="99"/>
        <v>805995</v>
      </c>
      <c r="H411" s="63">
        <f t="shared" si="104"/>
        <v>726536</v>
      </c>
      <c r="I411" s="63">
        <f t="shared" si="104"/>
        <v>2522568</v>
      </c>
      <c r="J411" s="63">
        <f t="shared" si="104"/>
        <v>5033</v>
      </c>
      <c r="K411" s="63">
        <f t="shared" si="100"/>
        <v>3254137</v>
      </c>
      <c r="L411" s="63">
        <f t="shared" si="105"/>
        <v>208678</v>
      </c>
      <c r="M411" s="63">
        <f t="shared" si="105"/>
        <v>716348</v>
      </c>
      <c r="N411" s="63">
        <f t="shared" si="105"/>
        <v>1519</v>
      </c>
      <c r="O411" s="63">
        <f t="shared" si="101"/>
        <v>926545</v>
      </c>
      <c r="R411" s="62">
        <f t="shared" si="102"/>
        <v>4986677</v>
      </c>
      <c r="S411" s="62"/>
      <c r="V411" s="62"/>
      <c r="W411" s="62"/>
      <c r="X411" s="62"/>
      <c r="Y411" s="62"/>
      <c r="Z411" s="62"/>
      <c r="AC411" s="98"/>
      <c r="AD411" s="98"/>
      <c r="AE411" s="98"/>
      <c r="AF411" s="98"/>
      <c r="AH411"/>
    </row>
    <row r="412" spans="1:34" hidden="1" x14ac:dyDescent="0.25">
      <c r="A412" s="56" t="s">
        <v>32</v>
      </c>
      <c r="B412" s="54" t="s">
        <v>73</v>
      </c>
      <c r="C412" s="63">
        <f t="shared" si="103"/>
        <v>1575463</v>
      </c>
      <c r="D412" s="55">
        <f t="shared" si="103"/>
        <v>35106</v>
      </c>
      <c r="E412" s="55">
        <f t="shared" si="103"/>
        <v>98977</v>
      </c>
      <c r="F412" s="55">
        <f t="shared" si="103"/>
        <v>854</v>
      </c>
      <c r="G412" s="55">
        <f>D412+E412+F412</f>
        <v>134937</v>
      </c>
      <c r="H412" s="63">
        <f t="shared" si="104"/>
        <v>103171</v>
      </c>
      <c r="I412" s="63">
        <f t="shared" si="104"/>
        <v>1147859</v>
      </c>
      <c r="J412" s="63">
        <f t="shared" si="104"/>
        <v>2511</v>
      </c>
      <c r="K412" s="63">
        <f t="shared" si="100"/>
        <v>1253541</v>
      </c>
      <c r="L412" s="63">
        <f t="shared" si="105"/>
        <v>31138</v>
      </c>
      <c r="M412" s="63">
        <f t="shared" si="105"/>
        <v>155089</v>
      </c>
      <c r="N412" s="63">
        <f t="shared" si="105"/>
        <v>758</v>
      </c>
      <c r="O412" s="63">
        <f t="shared" si="101"/>
        <v>186985</v>
      </c>
      <c r="R412" s="62">
        <f t="shared" si="102"/>
        <v>1575463</v>
      </c>
      <c r="S412" s="62"/>
      <c r="V412" s="62"/>
      <c r="W412" s="62"/>
      <c r="X412" s="62"/>
      <c r="Y412" s="62"/>
      <c r="Z412" s="62"/>
      <c r="AC412" s="98"/>
      <c r="AD412" s="98"/>
      <c r="AE412" s="98"/>
      <c r="AF412" s="98"/>
      <c r="AH412"/>
    </row>
    <row r="413" spans="1:34" hidden="1" x14ac:dyDescent="0.25">
      <c r="A413" s="56" t="s">
        <v>90</v>
      </c>
      <c r="B413" s="70" t="s">
        <v>91</v>
      </c>
      <c r="C413" s="63">
        <f t="shared" si="103"/>
        <v>2643045</v>
      </c>
      <c r="D413" s="55">
        <f t="shared" si="103"/>
        <v>27674</v>
      </c>
      <c r="E413" s="55">
        <f t="shared" si="103"/>
        <v>136172</v>
      </c>
      <c r="F413" s="55">
        <f t="shared" si="103"/>
        <v>0</v>
      </c>
      <c r="G413" s="55">
        <f>D413+E413+F413</f>
        <v>163846</v>
      </c>
      <c r="H413" s="63">
        <f t="shared" si="104"/>
        <v>179990</v>
      </c>
      <c r="I413" s="63">
        <f t="shared" si="104"/>
        <v>2018423</v>
      </c>
      <c r="J413" s="63">
        <f t="shared" si="104"/>
        <v>0</v>
      </c>
      <c r="K413" s="63">
        <f t="shared" si="100"/>
        <v>2198413</v>
      </c>
      <c r="L413" s="63">
        <f t="shared" si="105"/>
        <v>32925</v>
      </c>
      <c r="M413" s="63">
        <f t="shared" si="105"/>
        <v>247861</v>
      </c>
      <c r="N413" s="63">
        <f t="shared" si="105"/>
        <v>0</v>
      </c>
      <c r="O413" s="63">
        <f t="shared" si="101"/>
        <v>280786</v>
      </c>
      <c r="R413" s="62">
        <f t="shared" si="102"/>
        <v>2643045</v>
      </c>
      <c r="S413" s="62"/>
      <c r="V413" s="62"/>
      <c r="W413" s="62"/>
      <c r="X413" s="62"/>
      <c r="Y413" s="62"/>
      <c r="Z413" s="62"/>
      <c r="AC413" s="98"/>
      <c r="AD413" s="98"/>
      <c r="AE413" s="98"/>
      <c r="AF413" s="98"/>
      <c r="AH413"/>
    </row>
    <row r="414" spans="1:34" hidden="1" x14ac:dyDescent="0.25">
      <c r="A414" s="57"/>
      <c r="B414" s="57" t="s">
        <v>0</v>
      </c>
      <c r="C414" s="58">
        <f>C396+C398+C400+C402+C403+C406+C407+C408+C409</f>
        <v>73655338</v>
      </c>
      <c r="D414" s="58">
        <f t="shared" ref="D414:O414" si="106">D396+D398+D400+D402+D403+D406+D407+D408+D409</f>
        <v>1976078</v>
      </c>
      <c r="E414" s="58">
        <f>E396+E398+E400+E402+E403+E406+E407+E408+E409</f>
        <v>6096488</v>
      </c>
      <c r="F414" s="58">
        <f t="shared" si="106"/>
        <v>121950</v>
      </c>
      <c r="G414" s="58">
        <f t="shared" si="106"/>
        <v>8194516</v>
      </c>
      <c r="H414" s="58">
        <f t="shared" si="106"/>
        <v>16894664</v>
      </c>
      <c r="I414" s="58">
        <f t="shared" si="106"/>
        <v>39987996</v>
      </c>
      <c r="J414" s="58">
        <f>J396+J398+J400+J402+J403+J406+J407+J408+J409</f>
        <v>994151</v>
      </c>
      <c r="K414" s="58">
        <f t="shared" si="106"/>
        <v>57876811</v>
      </c>
      <c r="L414" s="58">
        <f t="shared" si="106"/>
        <v>1660281</v>
      </c>
      <c r="M414" s="58">
        <f>M396+M398+M400+M402+M403+M406+M407+M408+M409</f>
        <v>5830682</v>
      </c>
      <c r="N414" s="58">
        <f t="shared" si="106"/>
        <v>93048</v>
      </c>
      <c r="O414" s="58">
        <f t="shared" si="106"/>
        <v>7584011</v>
      </c>
      <c r="R414" s="62">
        <f t="shared" si="102"/>
        <v>73655338</v>
      </c>
      <c r="S414" s="62"/>
      <c r="V414" s="100"/>
      <c r="W414" s="100"/>
      <c r="X414" s="100"/>
      <c r="Y414" s="100"/>
      <c r="Z414" s="100"/>
      <c r="AA414" s="101"/>
      <c r="AB414" s="101"/>
      <c r="AC414" s="98"/>
      <c r="AD414" s="98"/>
      <c r="AE414" s="98"/>
      <c r="AF414" s="98"/>
      <c r="AH414"/>
    </row>
    <row r="415" spans="1:34" hidden="1" x14ac:dyDescent="0.25"/>
    <row r="416" spans="1:34" hidden="1" x14ac:dyDescent="0.25">
      <c r="A416" s="158" t="s">
        <v>95</v>
      </c>
      <c r="B416" s="158"/>
      <c r="C416" s="158"/>
      <c r="D416" s="158"/>
      <c r="E416" s="158"/>
      <c r="F416" s="158"/>
      <c r="G416" s="158"/>
      <c r="H416" s="158"/>
      <c r="I416" s="158"/>
      <c r="J416" s="158"/>
      <c r="K416" s="158"/>
      <c r="L416" s="158"/>
      <c r="M416" s="158"/>
      <c r="N416" s="158"/>
      <c r="O416" s="158"/>
      <c r="AH416"/>
    </row>
    <row r="417" spans="1:34" x14ac:dyDescent="0.25">
      <c r="A417" s="110"/>
      <c r="B417" s="110"/>
      <c r="C417" s="110"/>
      <c r="D417" s="110"/>
      <c r="E417" s="110"/>
      <c r="F417" s="110"/>
      <c r="G417" s="110"/>
      <c r="H417" s="110"/>
      <c r="I417" s="110"/>
      <c r="J417" s="110"/>
      <c r="K417" s="110"/>
      <c r="L417" s="110"/>
      <c r="M417" s="110"/>
      <c r="N417" s="110"/>
      <c r="O417" s="110"/>
      <c r="AH417"/>
    </row>
    <row r="418" spans="1:34" s="4" customFormat="1" ht="28.5" customHeight="1" x14ac:dyDescent="0.25">
      <c r="A418" s="152" t="s">
        <v>17</v>
      </c>
      <c r="B418" s="152" t="s">
        <v>33</v>
      </c>
      <c r="C418" s="153" t="s">
        <v>89</v>
      </c>
      <c r="D418" s="152" t="s">
        <v>69</v>
      </c>
      <c r="E418" s="152"/>
      <c r="F418" s="152"/>
      <c r="G418" s="152"/>
      <c r="H418" s="152"/>
      <c r="I418" s="152"/>
      <c r="J418" s="152"/>
      <c r="K418" s="152"/>
      <c r="L418" s="152"/>
      <c r="M418" s="152"/>
      <c r="N418" s="152"/>
      <c r="O418" s="152"/>
      <c r="R418" s="61"/>
      <c r="S418" s="61"/>
      <c r="V418" s="61"/>
      <c r="W418" s="61"/>
      <c r="X418" s="61"/>
      <c r="Y418" s="61"/>
      <c r="Z418" s="61"/>
      <c r="AC418" s="95"/>
      <c r="AD418" s="95"/>
      <c r="AE418" s="95"/>
      <c r="AF418" s="95"/>
      <c r="AG418" s="93"/>
      <c r="AH418" s="95"/>
    </row>
    <row r="419" spans="1:34" s="4" customFormat="1" ht="41.25" customHeight="1" x14ac:dyDescent="0.25">
      <c r="A419" s="152"/>
      <c r="B419" s="152"/>
      <c r="C419" s="153"/>
      <c r="D419" s="154" t="s">
        <v>36</v>
      </c>
      <c r="E419" s="154"/>
      <c r="F419" s="154"/>
      <c r="G419" s="154"/>
      <c r="H419" s="155" t="s">
        <v>37</v>
      </c>
      <c r="I419" s="156"/>
      <c r="J419" s="156"/>
      <c r="K419" s="157"/>
      <c r="L419" s="155" t="s">
        <v>38</v>
      </c>
      <c r="M419" s="156"/>
      <c r="N419" s="156"/>
      <c r="O419" s="157"/>
      <c r="R419" s="61"/>
      <c r="S419" s="61"/>
      <c r="V419" s="61"/>
      <c r="W419" s="61"/>
      <c r="X419" s="61"/>
      <c r="Y419" s="61"/>
      <c r="Z419" s="61"/>
      <c r="AC419" s="95"/>
      <c r="AD419" s="95"/>
      <c r="AE419" s="95"/>
      <c r="AF419" s="95"/>
      <c r="AG419" s="93"/>
      <c r="AH419" s="95"/>
    </row>
    <row r="420" spans="1:34" s="4" customFormat="1" ht="59.25" customHeight="1" x14ac:dyDescent="0.25">
      <c r="A420" s="152"/>
      <c r="B420" s="152"/>
      <c r="C420" s="153"/>
      <c r="D420" s="109" t="s">
        <v>66</v>
      </c>
      <c r="E420" s="109" t="s">
        <v>67</v>
      </c>
      <c r="F420" s="109" t="s">
        <v>68</v>
      </c>
      <c r="G420" s="109" t="s">
        <v>70</v>
      </c>
      <c r="H420" s="65" t="s">
        <v>66</v>
      </c>
      <c r="I420" s="65" t="s">
        <v>67</v>
      </c>
      <c r="J420" s="65" t="s">
        <v>68</v>
      </c>
      <c r="K420" s="65" t="s">
        <v>71</v>
      </c>
      <c r="L420" s="65" t="s">
        <v>66</v>
      </c>
      <c r="M420" s="65" t="s">
        <v>67</v>
      </c>
      <c r="N420" s="65" t="s">
        <v>68</v>
      </c>
      <c r="O420" s="65" t="s">
        <v>72</v>
      </c>
      <c r="R420" s="61"/>
      <c r="S420" s="61"/>
      <c r="V420" s="61"/>
      <c r="W420" s="61"/>
      <c r="X420" s="61"/>
      <c r="Y420" s="61"/>
      <c r="Z420" s="61"/>
      <c r="AC420" s="95"/>
      <c r="AD420" s="95"/>
      <c r="AE420" s="95"/>
      <c r="AF420" s="95"/>
      <c r="AG420" s="93"/>
      <c r="AH420" s="95"/>
    </row>
    <row r="421" spans="1:34" s="3" customFormat="1" ht="14.25" customHeight="1" x14ac:dyDescent="0.25">
      <c r="A421" s="53">
        <v>1</v>
      </c>
      <c r="B421" s="53">
        <v>2</v>
      </c>
      <c r="C421" s="53">
        <v>3</v>
      </c>
      <c r="D421" s="53">
        <v>4</v>
      </c>
      <c r="E421" s="53">
        <v>5</v>
      </c>
      <c r="F421" s="53">
        <v>6</v>
      </c>
      <c r="G421" s="53">
        <v>7</v>
      </c>
      <c r="H421" s="66">
        <v>8</v>
      </c>
      <c r="I421" s="66">
        <v>9</v>
      </c>
      <c r="J421" s="66">
        <v>10</v>
      </c>
      <c r="K421" s="66">
        <v>11</v>
      </c>
      <c r="L421" s="66">
        <v>12</v>
      </c>
      <c r="M421" s="66">
        <v>13</v>
      </c>
      <c r="N421" s="66">
        <v>14</v>
      </c>
      <c r="O421" s="66">
        <v>15</v>
      </c>
      <c r="R421" s="61"/>
      <c r="S421" s="61"/>
      <c r="V421" s="61"/>
      <c r="W421" s="61"/>
      <c r="X421" s="61"/>
      <c r="Y421" s="61"/>
      <c r="Z421" s="61"/>
      <c r="AC421" s="95"/>
      <c r="AD421" s="95"/>
      <c r="AE421" s="95"/>
      <c r="AF421" s="95"/>
      <c r="AG421" s="94"/>
      <c r="AH421" s="95"/>
    </row>
    <row r="422" spans="1:34" s="3" customFormat="1" ht="25.5" hidden="1" customHeight="1" x14ac:dyDescent="0.25">
      <c r="A422" s="53" t="s">
        <v>16</v>
      </c>
      <c r="B422" s="54" t="s">
        <v>15</v>
      </c>
      <c r="C422" s="63">
        <f t="shared" ref="C422:F439" si="107">C80+C176+C273+C371</f>
        <v>49901452</v>
      </c>
      <c r="D422" s="55">
        <f t="shared" si="107"/>
        <v>1228488</v>
      </c>
      <c r="E422" s="55">
        <f t="shared" si="107"/>
        <v>6557633</v>
      </c>
      <c r="F422" s="55">
        <f t="shared" si="107"/>
        <v>0</v>
      </c>
      <c r="G422" s="55">
        <f t="shared" ref="G422:G439" si="108">D422+E422+F422</f>
        <v>7786121</v>
      </c>
      <c r="H422" s="63">
        <f t="shared" ref="H422:J439" si="109">H80+H176+H273+H371</f>
        <v>5180075</v>
      </c>
      <c r="I422" s="63">
        <f t="shared" si="109"/>
        <v>27651089</v>
      </c>
      <c r="J422" s="63">
        <f t="shared" si="109"/>
        <v>0</v>
      </c>
      <c r="K422" s="63">
        <f t="shared" ref="K422:K439" si="110">H422+I422+J422</f>
        <v>32831164</v>
      </c>
      <c r="L422" s="63">
        <f t="shared" ref="L422:N439" si="111">L80+L176+L273+L371</f>
        <v>1464849</v>
      </c>
      <c r="M422" s="63">
        <f t="shared" si="111"/>
        <v>7819318</v>
      </c>
      <c r="N422" s="63">
        <f t="shared" si="111"/>
        <v>0</v>
      </c>
      <c r="O422" s="63">
        <f t="shared" ref="O422:O439" si="112">L422+M422+N422</f>
        <v>9284167</v>
      </c>
      <c r="R422" s="62">
        <f t="shared" ref="R422:R440" si="113">G422+K422+O422</f>
        <v>49901452</v>
      </c>
      <c r="S422" s="62"/>
      <c r="V422" s="62"/>
      <c r="W422" s="62"/>
      <c r="X422" s="62"/>
      <c r="Y422" s="62"/>
      <c r="Z422" s="62"/>
      <c r="AC422" s="98"/>
      <c r="AD422" s="95"/>
      <c r="AE422" s="95"/>
      <c r="AF422" s="95"/>
      <c r="AG422" s="94"/>
      <c r="AH422" s="95"/>
    </row>
    <row r="423" spans="1:34" ht="40.5" hidden="1" customHeight="1" x14ac:dyDescent="0.25">
      <c r="A423" s="56" t="s">
        <v>24</v>
      </c>
      <c r="B423" s="54" t="s">
        <v>14</v>
      </c>
      <c r="C423" s="63">
        <f t="shared" si="107"/>
        <v>3456980</v>
      </c>
      <c r="D423" s="55">
        <f t="shared" si="107"/>
        <v>383858</v>
      </c>
      <c r="E423" s="55">
        <f t="shared" si="107"/>
        <v>322234</v>
      </c>
      <c r="F423" s="55">
        <f t="shared" si="107"/>
        <v>10262</v>
      </c>
      <c r="G423" s="55">
        <f t="shared" si="108"/>
        <v>716354</v>
      </c>
      <c r="H423" s="63">
        <f t="shared" si="109"/>
        <v>1128085</v>
      </c>
      <c r="I423" s="63">
        <f t="shared" si="109"/>
        <v>946986</v>
      </c>
      <c r="J423" s="63">
        <f t="shared" si="109"/>
        <v>30160</v>
      </c>
      <c r="K423" s="63">
        <f t="shared" si="110"/>
        <v>2105231</v>
      </c>
      <c r="L423" s="63">
        <f t="shared" si="111"/>
        <v>340474</v>
      </c>
      <c r="M423" s="63">
        <f t="shared" si="111"/>
        <v>285818</v>
      </c>
      <c r="N423" s="63">
        <f t="shared" si="111"/>
        <v>9103</v>
      </c>
      <c r="O423" s="63">
        <f t="shared" si="112"/>
        <v>635395</v>
      </c>
      <c r="R423" s="62">
        <f t="shared" si="113"/>
        <v>3456980</v>
      </c>
      <c r="S423" s="62"/>
      <c r="V423" s="62"/>
      <c r="W423" s="62"/>
      <c r="X423" s="62"/>
      <c r="Y423" s="62"/>
      <c r="Z423" s="62"/>
    </row>
    <row r="424" spans="1:34" ht="34.5" hidden="1" customHeight="1" x14ac:dyDescent="0.25">
      <c r="A424" s="56" t="s">
        <v>24</v>
      </c>
      <c r="B424" s="54" t="s">
        <v>13</v>
      </c>
      <c r="C424" s="63">
        <f t="shared" si="107"/>
        <v>16849168</v>
      </c>
      <c r="D424" s="55">
        <f t="shared" si="107"/>
        <v>0</v>
      </c>
      <c r="E424" s="55">
        <f t="shared" si="107"/>
        <v>955012</v>
      </c>
      <c r="F424" s="55">
        <f t="shared" si="107"/>
        <v>0</v>
      </c>
      <c r="G424" s="55">
        <f t="shared" si="108"/>
        <v>955012</v>
      </c>
      <c r="H424" s="63">
        <f t="shared" si="109"/>
        <v>0</v>
      </c>
      <c r="I424" s="63">
        <f t="shared" si="109"/>
        <v>14155830</v>
      </c>
      <c r="J424" s="63">
        <f t="shared" si="109"/>
        <v>0</v>
      </c>
      <c r="K424" s="63">
        <f t="shared" si="110"/>
        <v>14155830</v>
      </c>
      <c r="L424" s="63">
        <f t="shared" si="111"/>
        <v>0</v>
      </c>
      <c r="M424" s="63">
        <f t="shared" si="111"/>
        <v>1738326</v>
      </c>
      <c r="N424" s="63">
        <f t="shared" si="111"/>
        <v>0</v>
      </c>
      <c r="O424" s="63">
        <f t="shared" si="112"/>
        <v>1738326</v>
      </c>
      <c r="R424" s="62">
        <f t="shared" si="113"/>
        <v>16849168</v>
      </c>
      <c r="S424" s="62"/>
      <c r="V424" s="62"/>
      <c r="W424" s="62"/>
      <c r="X424" s="62"/>
      <c r="Y424" s="62"/>
      <c r="Z424" s="62"/>
    </row>
    <row r="425" spans="1:34" ht="40.5" hidden="1" customHeight="1" x14ac:dyDescent="0.25">
      <c r="A425" s="56" t="s">
        <v>22</v>
      </c>
      <c r="B425" s="54" t="s">
        <v>12</v>
      </c>
      <c r="C425" s="63">
        <f t="shared" si="107"/>
        <v>2104889</v>
      </c>
      <c r="D425" s="55">
        <f t="shared" si="107"/>
        <v>242125</v>
      </c>
      <c r="E425" s="55">
        <f t="shared" si="107"/>
        <v>0</v>
      </c>
      <c r="F425" s="55">
        <f t="shared" si="107"/>
        <v>0</v>
      </c>
      <c r="G425" s="55">
        <f t="shared" si="108"/>
        <v>242125</v>
      </c>
      <c r="H425" s="63">
        <f t="shared" si="109"/>
        <v>1574709</v>
      </c>
      <c r="I425" s="63">
        <f t="shared" si="109"/>
        <v>0</v>
      </c>
      <c r="J425" s="63">
        <f t="shared" si="109"/>
        <v>0</v>
      </c>
      <c r="K425" s="63">
        <f t="shared" si="110"/>
        <v>1574709</v>
      </c>
      <c r="L425" s="63">
        <f t="shared" si="111"/>
        <v>288055</v>
      </c>
      <c r="M425" s="63">
        <f t="shared" si="111"/>
        <v>0</v>
      </c>
      <c r="N425" s="63">
        <f t="shared" si="111"/>
        <v>0</v>
      </c>
      <c r="O425" s="63">
        <f t="shared" si="112"/>
        <v>288055</v>
      </c>
      <c r="R425" s="62">
        <f t="shared" si="113"/>
        <v>2104889</v>
      </c>
      <c r="S425" s="62"/>
      <c r="V425" s="62"/>
      <c r="W425" s="62"/>
      <c r="X425" s="62"/>
      <c r="Y425" s="62"/>
      <c r="Z425" s="62"/>
    </row>
    <row r="426" spans="1:34" ht="39.75" hidden="1" customHeight="1" x14ac:dyDescent="0.25">
      <c r="A426" s="56" t="s">
        <v>23</v>
      </c>
      <c r="B426" s="54" t="s">
        <v>11</v>
      </c>
      <c r="C426" s="63">
        <f t="shared" si="107"/>
        <v>1965020</v>
      </c>
      <c r="D426" s="55">
        <f t="shared" si="107"/>
        <v>76870</v>
      </c>
      <c r="E426" s="55">
        <f t="shared" si="107"/>
        <v>121678</v>
      </c>
      <c r="F426" s="55">
        <f t="shared" si="107"/>
        <v>52678</v>
      </c>
      <c r="G426" s="55">
        <f t="shared" si="108"/>
        <v>251226</v>
      </c>
      <c r="H426" s="63">
        <f t="shared" si="109"/>
        <v>407781</v>
      </c>
      <c r="I426" s="63">
        <f t="shared" si="109"/>
        <v>645468</v>
      </c>
      <c r="J426" s="63">
        <f t="shared" si="109"/>
        <v>279448</v>
      </c>
      <c r="K426" s="63">
        <f t="shared" si="110"/>
        <v>1332697</v>
      </c>
      <c r="L426" s="63">
        <f t="shared" si="111"/>
        <v>116607</v>
      </c>
      <c r="M426" s="63">
        <f t="shared" si="111"/>
        <v>184578</v>
      </c>
      <c r="N426" s="63">
        <f t="shared" si="111"/>
        <v>79912</v>
      </c>
      <c r="O426" s="63">
        <f t="shared" si="112"/>
        <v>381097</v>
      </c>
      <c r="R426" s="62">
        <f t="shared" si="113"/>
        <v>1965020</v>
      </c>
      <c r="S426" s="62"/>
      <c r="V426" s="62"/>
      <c r="W426" s="62"/>
      <c r="X426" s="62"/>
      <c r="Y426" s="62"/>
      <c r="Z426" s="62"/>
    </row>
    <row r="427" spans="1:34" ht="28.5" hidden="1" customHeight="1" x14ac:dyDescent="0.25">
      <c r="A427" s="56" t="s">
        <v>20</v>
      </c>
      <c r="B427" s="54" t="s">
        <v>34</v>
      </c>
      <c r="C427" s="63">
        <f t="shared" si="107"/>
        <v>3117319</v>
      </c>
      <c r="D427" s="55">
        <f t="shared" si="107"/>
        <v>583499</v>
      </c>
      <c r="E427" s="55">
        <f t="shared" si="107"/>
        <v>0</v>
      </c>
      <c r="F427" s="55">
        <f t="shared" si="107"/>
        <v>0</v>
      </c>
      <c r="G427" s="55">
        <f t="shared" si="108"/>
        <v>583499</v>
      </c>
      <c r="H427" s="63">
        <f t="shared" si="109"/>
        <v>1904590</v>
      </c>
      <c r="I427" s="63">
        <f t="shared" si="109"/>
        <v>0</v>
      </c>
      <c r="J427" s="63">
        <f t="shared" si="109"/>
        <v>0</v>
      </c>
      <c r="K427" s="63">
        <f t="shared" si="110"/>
        <v>1904590</v>
      </c>
      <c r="L427" s="63">
        <f t="shared" si="111"/>
        <v>629230</v>
      </c>
      <c r="M427" s="63">
        <f t="shared" si="111"/>
        <v>0</v>
      </c>
      <c r="N427" s="63">
        <f t="shared" si="111"/>
        <v>0</v>
      </c>
      <c r="O427" s="63">
        <f t="shared" si="112"/>
        <v>629230</v>
      </c>
      <c r="R427" s="62">
        <f t="shared" si="113"/>
        <v>3117319</v>
      </c>
      <c r="S427" s="62"/>
      <c r="V427" s="62"/>
      <c r="W427" s="62"/>
      <c r="X427" s="62"/>
      <c r="Y427" s="62"/>
      <c r="Z427" s="62"/>
    </row>
    <row r="428" spans="1:34" ht="34.5" hidden="1" customHeight="1" x14ac:dyDescent="0.25">
      <c r="A428" s="56" t="s">
        <v>22</v>
      </c>
      <c r="B428" s="54" t="s">
        <v>10</v>
      </c>
      <c r="C428" s="63">
        <f t="shared" si="107"/>
        <v>11874155</v>
      </c>
      <c r="D428" s="55">
        <f t="shared" si="107"/>
        <v>257919</v>
      </c>
      <c r="E428" s="55">
        <f t="shared" si="107"/>
        <v>337356</v>
      </c>
      <c r="F428" s="55">
        <f t="shared" si="107"/>
        <v>15884</v>
      </c>
      <c r="G428" s="55">
        <f t="shared" si="108"/>
        <v>611159</v>
      </c>
      <c r="H428" s="63">
        <f t="shared" si="109"/>
        <v>4011485</v>
      </c>
      <c r="I428" s="63">
        <f t="shared" si="109"/>
        <v>5246962</v>
      </c>
      <c r="J428" s="63">
        <f t="shared" si="109"/>
        <v>247053</v>
      </c>
      <c r="K428" s="63">
        <f t="shared" si="110"/>
        <v>9505500</v>
      </c>
      <c r="L428" s="63">
        <f t="shared" si="111"/>
        <v>741696</v>
      </c>
      <c r="M428" s="63">
        <f t="shared" si="111"/>
        <v>970124</v>
      </c>
      <c r="N428" s="63">
        <f t="shared" si="111"/>
        <v>45676</v>
      </c>
      <c r="O428" s="63">
        <f t="shared" si="112"/>
        <v>1757496</v>
      </c>
      <c r="R428" s="62">
        <f t="shared" si="113"/>
        <v>11874155</v>
      </c>
      <c r="S428" s="62"/>
      <c r="V428" s="62"/>
      <c r="W428" s="62"/>
      <c r="X428" s="62"/>
      <c r="Y428" s="62"/>
      <c r="Z428" s="62"/>
    </row>
    <row r="429" spans="1:34" ht="25.5" hidden="1" customHeight="1" x14ac:dyDescent="0.25">
      <c r="A429" s="56" t="s">
        <v>21</v>
      </c>
      <c r="B429" s="54" t="s">
        <v>9</v>
      </c>
      <c r="C429" s="63">
        <f t="shared" si="107"/>
        <v>10262439</v>
      </c>
      <c r="D429" s="55">
        <f t="shared" si="107"/>
        <v>869461</v>
      </c>
      <c r="E429" s="55">
        <f t="shared" si="107"/>
        <v>1570761</v>
      </c>
      <c r="F429" s="55">
        <f t="shared" si="107"/>
        <v>31593</v>
      </c>
      <c r="G429" s="55">
        <f t="shared" si="108"/>
        <v>2471815</v>
      </c>
      <c r="H429" s="63">
        <f t="shared" si="109"/>
        <v>2716750</v>
      </c>
      <c r="I429" s="63">
        <f t="shared" si="109"/>
        <v>4908047</v>
      </c>
      <c r="J429" s="63">
        <f t="shared" si="109"/>
        <v>98711</v>
      </c>
      <c r="K429" s="63">
        <f t="shared" si="110"/>
        <v>7723508</v>
      </c>
      <c r="L429" s="63">
        <f t="shared" si="111"/>
        <v>23608</v>
      </c>
      <c r="M429" s="63">
        <f t="shared" si="111"/>
        <v>42651</v>
      </c>
      <c r="N429" s="63">
        <f t="shared" si="111"/>
        <v>857</v>
      </c>
      <c r="O429" s="63">
        <f t="shared" si="112"/>
        <v>67116</v>
      </c>
      <c r="R429" s="62">
        <f t="shared" si="113"/>
        <v>10262439</v>
      </c>
      <c r="S429" s="62"/>
      <c r="V429" s="62"/>
      <c r="W429" s="62"/>
      <c r="X429" s="62"/>
      <c r="Y429" s="62"/>
      <c r="Z429" s="62"/>
    </row>
    <row r="430" spans="1:34" ht="25.5" hidden="1" customHeight="1" x14ac:dyDescent="0.25">
      <c r="A430" s="56" t="s">
        <v>25</v>
      </c>
      <c r="B430" s="54" t="s">
        <v>8</v>
      </c>
      <c r="C430" s="63">
        <f t="shared" si="107"/>
        <v>14723877</v>
      </c>
      <c r="D430" s="55">
        <f t="shared" si="107"/>
        <v>103821</v>
      </c>
      <c r="E430" s="55">
        <f t="shared" si="107"/>
        <v>477774</v>
      </c>
      <c r="F430" s="55">
        <f t="shared" si="107"/>
        <v>0</v>
      </c>
      <c r="G430" s="55">
        <f t="shared" si="108"/>
        <v>581595</v>
      </c>
      <c r="H430" s="63">
        <f t="shared" si="109"/>
        <v>1684963</v>
      </c>
      <c r="I430" s="63">
        <f t="shared" si="109"/>
        <v>7754218</v>
      </c>
      <c r="J430" s="63">
        <f t="shared" si="109"/>
        <v>0</v>
      </c>
      <c r="K430" s="63">
        <f t="shared" si="110"/>
        <v>9439181</v>
      </c>
      <c r="L430" s="63">
        <f t="shared" si="111"/>
        <v>839538</v>
      </c>
      <c r="M430" s="63">
        <f t="shared" si="111"/>
        <v>3863563</v>
      </c>
      <c r="N430" s="63">
        <f t="shared" si="111"/>
        <v>0</v>
      </c>
      <c r="O430" s="63">
        <f t="shared" si="112"/>
        <v>4703101</v>
      </c>
      <c r="R430" s="62">
        <f t="shared" si="113"/>
        <v>14723877</v>
      </c>
      <c r="S430" s="62"/>
      <c r="V430" s="62"/>
      <c r="W430" s="62"/>
      <c r="X430" s="62"/>
      <c r="Y430" s="62"/>
      <c r="Z430" s="62"/>
    </row>
    <row r="431" spans="1:34" ht="25.5" hidden="1" customHeight="1" x14ac:dyDescent="0.25">
      <c r="A431" s="56" t="s">
        <v>26</v>
      </c>
      <c r="B431" s="54" t="s">
        <v>7</v>
      </c>
      <c r="C431" s="63">
        <f t="shared" si="107"/>
        <v>8937921</v>
      </c>
      <c r="D431" s="55">
        <f t="shared" si="107"/>
        <v>20324</v>
      </c>
      <c r="E431" s="55">
        <f t="shared" si="107"/>
        <v>142972</v>
      </c>
      <c r="F431" s="55">
        <f t="shared" si="107"/>
        <v>0</v>
      </c>
      <c r="G431" s="55">
        <f t="shared" si="108"/>
        <v>163296</v>
      </c>
      <c r="H431" s="63">
        <f t="shared" si="109"/>
        <v>992926</v>
      </c>
      <c r="I431" s="63">
        <f t="shared" si="109"/>
        <v>6984884</v>
      </c>
      <c r="J431" s="63">
        <f t="shared" si="109"/>
        <v>0</v>
      </c>
      <c r="K431" s="63">
        <f t="shared" si="110"/>
        <v>7977810</v>
      </c>
      <c r="L431" s="63">
        <f t="shared" si="111"/>
        <v>99173</v>
      </c>
      <c r="M431" s="63">
        <f t="shared" si="111"/>
        <v>697642</v>
      </c>
      <c r="N431" s="63">
        <f t="shared" si="111"/>
        <v>0</v>
      </c>
      <c r="O431" s="63">
        <f t="shared" si="112"/>
        <v>796815</v>
      </c>
      <c r="R431" s="62">
        <f t="shared" si="113"/>
        <v>8937921</v>
      </c>
      <c r="S431" s="62"/>
      <c r="V431" s="62"/>
      <c r="W431" s="62"/>
      <c r="X431" s="62"/>
      <c r="Y431" s="62"/>
      <c r="Z431" s="62"/>
    </row>
    <row r="432" spans="1:34" ht="25.5" customHeight="1" x14ac:dyDescent="0.25">
      <c r="A432" s="56" t="s">
        <v>20</v>
      </c>
      <c r="B432" s="54" t="s">
        <v>6</v>
      </c>
      <c r="C432" s="63">
        <f t="shared" si="107"/>
        <v>9906241</v>
      </c>
      <c r="D432" s="55">
        <f t="shared" si="107"/>
        <v>37531</v>
      </c>
      <c r="E432" s="55">
        <f t="shared" si="107"/>
        <v>30565</v>
      </c>
      <c r="F432" s="55">
        <f t="shared" si="107"/>
        <v>948</v>
      </c>
      <c r="G432" s="55">
        <f t="shared" si="108"/>
        <v>69044</v>
      </c>
      <c r="H432" s="63">
        <f t="shared" si="109"/>
        <v>5339145</v>
      </c>
      <c r="I432" s="63">
        <f t="shared" si="109"/>
        <v>4348349</v>
      </c>
      <c r="J432" s="63">
        <f t="shared" si="109"/>
        <v>134843</v>
      </c>
      <c r="K432" s="63">
        <f t="shared" si="110"/>
        <v>9822337</v>
      </c>
      <c r="L432" s="63">
        <f t="shared" si="111"/>
        <v>8077</v>
      </c>
      <c r="M432" s="63">
        <f t="shared" si="111"/>
        <v>6580</v>
      </c>
      <c r="N432" s="63">
        <f t="shared" si="111"/>
        <v>203</v>
      </c>
      <c r="O432" s="63">
        <f t="shared" si="112"/>
        <v>14860</v>
      </c>
      <c r="R432" s="62">
        <f t="shared" si="113"/>
        <v>9906241</v>
      </c>
      <c r="S432" s="62"/>
      <c r="V432" s="62"/>
      <c r="W432" s="62"/>
      <c r="X432" s="62"/>
      <c r="Y432" s="62"/>
      <c r="Z432" s="62"/>
    </row>
    <row r="433" spans="1:34" ht="25.5" hidden="1" customHeight="1" x14ac:dyDescent="0.25">
      <c r="A433" s="56" t="s">
        <v>19</v>
      </c>
      <c r="B433" s="54" t="s">
        <v>5</v>
      </c>
      <c r="C433" s="63">
        <f t="shared" si="107"/>
        <v>12470431</v>
      </c>
      <c r="D433" s="55">
        <f t="shared" si="107"/>
        <v>472866</v>
      </c>
      <c r="E433" s="55">
        <f t="shared" si="107"/>
        <v>1182974</v>
      </c>
      <c r="F433" s="55">
        <f t="shared" si="107"/>
        <v>69443</v>
      </c>
      <c r="G433" s="55">
        <f t="shared" si="108"/>
        <v>1725283</v>
      </c>
      <c r="H433" s="63">
        <f t="shared" si="109"/>
        <v>2916358</v>
      </c>
      <c r="I433" s="63">
        <f t="shared" si="109"/>
        <v>7295859</v>
      </c>
      <c r="J433" s="63">
        <f t="shared" si="109"/>
        <v>428302</v>
      </c>
      <c r="K433" s="63">
        <f t="shared" si="110"/>
        <v>10640519</v>
      </c>
      <c r="L433" s="63">
        <f t="shared" si="111"/>
        <v>28675</v>
      </c>
      <c r="M433" s="63">
        <f t="shared" si="111"/>
        <v>71738</v>
      </c>
      <c r="N433" s="63">
        <f t="shared" si="111"/>
        <v>4216</v>
      </c>
      <c r="O433" s="63">
        <f t="shared" si="112"/>
        <v>104629</v>
      </c>
      <c r="R433" s="62">
        <f t="shared" si="113"/>
        <v>12470431</v>
      </c>
      <c r="S433" s="62"/>
      <c r="V433" s="62"/>
      <c r="W433" s="62"/>
      <c r="X433" s="62"/>
      <c r="Y433" s="62"/>
      <c r="Z433" s="62"/>
    </row>
    <row r="434" spans="1:34" hidden="1" x14ac:dyDescent="0.25">
      <c r="A434" s="56" t="s">
        <v>18</v>
      </c>
      <c r="B434" s="54" t="s">
        <v>4</v>
      </c>
      <c r="C434" s="63">
        <f t="shared" si="107"/>
        <v>9916111</v>
      </c>
      <c r="D434" s="55">
        <f t="shared" si="107"/>
        <v>192289</v>
      </c>
      <c r="E434" s="55">
        <f t="shared" si="107"/>
        <v>324020</v>
      </c>
      <c r="F434" s="55">
        <f t="shared" si="107"/>
        <v>13413</v>
      </c>
      <c r="G434" s="55">
        <f t="shared" si="108"/>
        <v>529722</v>
      </c>
      <c r="H434" s="63">
        <f t="shared" si="109"/>
        <v>3294676</v>
      </c>
      <c r="I434" s="63">
        <f t="shared" si="109"/>
        <v>5551808</v>
      </c>
      <c r="J434" s="63">
        <f t="shared" si="109"/>
        <v>229828</v>
      </c>
      <c r="K434" s="63">
        <f t="shared" si="110"/>
        <v>9076312</v>
      </c>
      <c r="L434" s="63">
        <f t="shared" si="111"/>
        <v>112556</v>
      </c>
      <c r="M434" s="63">
        <f t="shared" si="111"/>
        <v>189668</v>
      </c>
      <c r="N434" s="63">
        <f t="shared" si="111"/>
        <v>7853</v>
      </c>
      <c r="O434" s="63">
        <f t="shared" si="112"/>
        <v>310077</v>
      </c>
      <c r="R434" s="62">
        <f t="shared" si="113"/>
        <v>9916111</v>
      </c>
      <c r="S434" s="62"/>
      <c r="V434" s="62"/>
      <c r="W434" s="62"/>
      <c r="X434" s="62"/>
      <c r="Y434" s="62"/>
      <c r="Z434" s="62"/>
      <c r="AC434"/>
      <c r="AD434"/>
      <c r="AE434"/>
      <c r="AF434"/>
      <c r="AG434"/>
      <c r="AH434"/>
    </row>
    <row r="435" spans="1:34" hidden="1" x14ac:dyDescent="0.25">
      <c r="A435" s="56" t="s">
        <v>25</v>
      </c>
      <c r="B435" s="54" t="s">
        <v>3</v>
      </c>
      <c r="C435" s="63">
        <f t="shared" si="107"/>
        <v>10671903</v>
      </c>
      <c r="D435" s="55">
        <f t="shared" si="107"/>
        <v>511513</v>
      </c>
      <c r="E435" s="55">
        <f t="shared" si="107"/>
        <v>251819</v>
      </c>
      <c r="F435" s="55">
        <f t="shared" si="107"/>
        <v>23615</v>
      </c>
      <c r="G435" s="55">
        <f t="shared" si="108"/>
        <v>786947</v>
      </c>
      <c r="H435" s="63">
        <f t="shared" si="109"/>
        <v>5715171</v>
      </c>
      <c r="I435" s="63">
        <f t="shared" si="109"/>
        <v>2813602</v>
      </c>
      <c r="J435" s="63">
        <f t="shared" si="109"/>
        <v>263809</v>
      </c>
      <c r="K435" s="63">
        <f t="shared" si="110"/>
        <v>8792582</v>
      </c>
      <c r="L435" s="63">
        <f t="shared" si="111"/>
        <v>710040</v>
      </c>
      <c r="M435" s="63">
        <f t="shared" si="111"/>
        <v>349558</v>
      </c>
      <c r="N435" s="63">
        <f t="shared" si="111"/>
        <v>32776</v>
      </c>
      <c r="O435" s="63">
        <f t="shared" si="112"/>
        <v>1092374</v>
      </c>
      <c r="R435" s="62">
        <f t="shared" si="113"/>
        <v>10671903</v>
      </c>
      <c r="S435" s="62"/>
      <c r="V435" s="62"/>
      <c r="W435" s="62"/>
      <c r="X435" s="62"/>
      <c r="Y435" s="62"/>
      <c r="Z435" s="62"/>
      <c r="AC435"/>
      <c r="AD435"/>
      <c r="AE435"/>
      <c r="AF435"/>
      <c r="AG435"/>
      <c r="AH435"/>
    </row>
    <row r="436" spans="1:34" ht="45" hidden="1" x14ac:dyDescent="0.25">
      <c r="A436" s="56" t="s">
        <v>30</v>
      </c>
      <c r="B436" s="54" t="s">
        <v>2</v>
      </c>
      <c r="C436" s="63">
        <f t="shared" si="107"/>
        <v>932904</v>
      </c>
      <c r="D436" s="55">
        <f t="shared" si="107"/>
        <v>26419</v>
      </c>
      <c r="E436" s="55">
        <f t="shared" si="107"/>
        <v>0</v>
      </c>
      <c r="F436" s="55">
        <f t="shared" si="107"/>
        <v>0</v>
      </c>
      <c r="G436" s="55">
        <f t="shared" si="108"/>
        <v>26419</v>
      </c>
      <c r="H436" s="63">
        <f t="shared" si="109"/>
        <v>781000</v>
      </c>
      <c r="I436" s="63">
        <f t="shared" si="109"/>
        <v>0</v>
      </c>
      <c r="J436" s="63">
        <f t="shared" si="109"/>
        <v>0</v>
      </c>
      <c r="K436" s="63">
        <f t="shared" si="110"/>
        <v>781000</v>
      </c>
      <c r="L436" s="63">
        <f t="shared" si="111"/>
        <v>125485</v>
      </c>
      <c r="M436" s="63">
        <f t="shared" si="111"/>
        <v>0</v>
      </c>
      <c r="N436" s="63">
        <f t="shared" si="111"/>
        <v>0</v>
      </c>
      <c r="O436" s="63">
        <f t="shared" si="112"/>
        <v>125485</v>
      </c>
      <c r="R436" s="62">
        <f t="shared" si="113"/>
        <v>932904</v>
      </c>
      <c r="S436" s="62"/>
      <c r="V436" s="62"/>
      <c r="W436" s="62"/>
      <c r="X436" s="62"/>
      <c r="Y436" s="62"/>
      <c r="Z436" s="62"/>
      <c r="AC436"/>
      <c r="AD436"/>
      <c r="AE436"/>
      <c r="AF436"/>
      <c r="AG436"/>
      <c r="AH436"/>
    </row>
    <row r="437" spans="1:34" ht="30" hidden="1" x14ac:dyDescent="0.25">
      <c r="A437" s="56" t="s">
        <v>31</v>
      </c>
      <c r="B437" s="54" t="s">
        <v>1</v>
      </c>
      <c r="C437" s="63">
        <f t="shared" si="107"/>
        <v>678715</v>
      </c>
      <c r="D437" s="55">
        <f t="shared" si="107"/>
        <v>50483</v>
      </c>
      <c r="E437" s="55">
        <f t="shared" si="107"/>
        <v>0</v>
      </c>
      <c r="F437" s="55">
        <f t="shared" si="107"/>
        <v>0</v>
      </c>
      <c r="G437" s="55">
        <f t="shared" si="108"/>
        <v>50483</v>
      </c>
      <c r="H437" s="63">
        <f t="shared" si="109"/>
        <v>600853</v>
      </c>
      <c r="I437" s="63">
        <f t="shared" si="109"/>
        <v>0</v>
      </c>
      <c r="J437" s="63">
        <f t="shared" si="109"/>
        <v>0</v>
      </c>
      <c r="K437" s="63">
        <f t="shared" si="110"/>
        <v>600853</v>
      </c>
      <c r="L437" s="63">
        <f t="shared" si="111"/>
        <v>27379</v>
      </c>
      <c r="M437" s="63">
        <f t="shared" si="111"/>
        <v>0</v>
      </c>
      <c r="N437" s="63">
        <f t="shared" si="111"/>
        <v>0</v>
      </c>
      <c r="O437" s="63">
        <f t="shared" si="112"/>
        <v>27379</v>
      </c>
      <c r="R437" s="62">
        <f t="shared" si="113"/>
        <v>678715</v>
      </c>
      <c r="S437" s="62"/>
      <c r="V437" s="62"/>
      <c r="W437" s="62"/>
      <c r="X437" s="62"/>
      <c r="Y437" s="62"/>
      <c r="Z437" s="62"/>
      <c r="AC437"/>
      <c r="AD437"/>
      <c r="AE437"/>
      <c r="AF437"/>
      <c r="AG437"/>
      <c r="AH437"/>
    </row>
    <row r="438" spans="1:34" hidden="1" x14ac:dyDescent="0.25">
      <c r="A438" s="56" t="s">
        <v>32</v>
      </c>
      <c r="B438" s="54" t="s">
        <v>73</v>
      </c>
      <c r="C438" s="63">
        <f t="shared" si="107"/>
        <v>892750</v>
      </c>
      <c r="D438" s="55">
        <f t="shared" si="107"/>
        <v>175593</v>
      </c>
      <c r="E438" s="55">
        <f t="shared" si="107"/>
        <v>0</v>
      </c>
      <c r="F438" s="55">
        <f t="shared" si="107"/>
        <v>0</v>
      </c>
      <c r="G438" s="55">
        <f t="shared" si="108"/>
        <v>175593</v>
      </c>
      <c r="H438" s="63">
        <f t="shared" si="109"/>
        <v>574806</v>
      </c>
      <c r="I438" s="63">
        <f t="shared" si="109"/>
        <v>0</v>
      </c>
      <c r="J438" s="63">
        <f t="shared" si="109"/>
        <v>0</v>
      </c>
      <c r="K438" s="63">
        <f t="shared" si="110"/>
        <v>574806</v>
      </c>
      <c r="L438" s="63">
        <f t="shared" si="111"/>
        <v>142351</v>
      </c>
      <c r="M438" s="63">
        <f t="shared" si="111"/>
        <v>0</v>
      </c>
      <c r="N438" s="63">
        <f t="shared" si="111"/>
        <v>0</v>
      </c>
      <c r="O438" s="63">
        <f t="shared" si="112"/>
        <v>142351</v>
      </c>
      <c r="R438" s="62">
        <f t="shared" si="113"/>
        <v>892750</v>
      </c>
      <c r="S438" s="62"/>
      <c r="V438" s="62"/>
      <c r="W438" s="62"/>
      <c r="X438" s="62"/>
      <c r="Y438" s="62"/>
      <c r="Z438" s="62"/>
      <c r="AC438"/>
      <c r="AD438"/>
      <c r="AE438"/>
      <c r="AF438"/>
      <c r="AG438"/>
      <c r="AH438"/>
    </row>
    <row r="439" spans="1:34" hidden="1" x14ac:dyDescent="0.25">
      <c r="A439" s="56" t="s">
        <v>90</v>
      </c>
      <c r="B439" s="70" t="s">
        <v>91</v>
      </c>
      <c r="C439" s="63">
        <f t="shared" si="107"/>
        <v>739943</v>
      </c>
      <c r="D439" s="55">
        <f t="shared" si="107"/>
        <v>0</v>
      </c>
      <c r="E439" s="55">
        <f t="shared" si="107"/>
        <v>125228</v>
      </c>
      <c r="F439" s="55">
        <f t="shared" si="107"/>
        <v>0</v>
      </c>
      <c r="G439" s="55">
        <f t="shared" si="108"/>
        <v>125228</v>
      </c>
      <c r="H439" s="63">
        <f t="shared" si="109"/>
        <v>0</v>
      </c>
      <c r="I439" s="63">
        <f t="shared" si="109"/>
        <v>411675</v>
      </c>
      <c r="J439" s="63">
        <f t="shared" si="109"/>
        <v>0</v>
      </c>
      <c r="K439" s="63">
        <f t="shared" si="110"/>
        <v>411675</v>
      </c>
      <c r="L439" s="63">
        <f t="shared" si="111"/>
        <v>0</v>
      </c>
      <c r="M439" s="63">
        <f t="shared" si="111"/>
        <v>203040</v>
      </c>
      <c r="N439" s="63">
        <f t="shared" si="111"/>
        <v>0</v>
      </c>
      <c r="O439" s="63">
        <f t="shared" si="112"/>
        <v>203040</v>
      </c>
      <c r="R439" s="62">
        <f t="shared" si="113"/>
        <v>739943</v>
      </c>
      <c r="S439" s="62"/>
      <c r="V439" s="62"/>
      <c r="W439" s="62"/>
      <c r="X439" s="62"/>
      <c r="Y439" s="62"/>
      <c r="Z439" s="62"/>
      <c r="AC439"/>
      <c r="AD439"/>
      <c r="AE439"/>
      <c r="AF439"/>
      <c r="AG439"/>
      <c r="AH439"/>
    </row>
    <row r="440" spans="1:34" hidden="1" x14ac:dyDescent="0.25">
      <c r="A440" s="57"/>
      <c r="B440" s="57" t="s">
        <v>0</v>
      </c>
      <c r="C440" s="58">
        <f t="shared" ref="C440:O440" si="114">C422+C424+C426+C428+C429+C432+C433+C434+C435</f>
        <v>133816920</v>
      </c>
      <c r="D440" s="58">
        <f t="shared" si="114"/>
        <v>3646937</v>
      </c>
      <c r="E440" s="58">
        <f t="shared" si="114"/>
        <v>11331818</v>
      </c>
      <c r="F440" s="58">
        <f t="shared" si="114"/>
        <v>207574</v>
      </c>
      <c r="G440" s="58">
        <f t="shared" si="114"/>
        <v>15186329</v>
      </c>
      <c r="H440" s="58">
        <f t="shared" si="114"/>
        <v>29581441</v>
      </c>
      <c r="I440" s="58">
        <f t="shared" si="114"/>
        <v>72617014</v>
      </c>
      <c r="J440" s="58">
        <f t="shared" si="114"/>
        <v>1681994</v>
      </c>
      <c r="K440" s="58">
        <f t="shared" si="114"/>
        <v>103880449</v>
      </c>
      <c r="L440" s="58">
        <f t="shared" si="114"/>
        <v>3206108</v>
      </c>
      <c r="M440" s="58">
        <f t="shared" si="114"/>
        <v>11372541</v>
      </c>
      <c r="N440" s="58">
        <f t="shared" si="114"/>
        <v>171493</v>
      </c>
      <c r="O440" s="58">
        <f t="shared" si="114"/>
        <v>14750142</v>
      </c>
      <c r="R440" s="62">
        <f t="shared" si="113"/>
        <v>133816920</v>
      </c>
      <c r="S440" s="62"/>
      <c r="V440" s="62"/>
      <c r="W440" s="62"/>
      <c r="X440" s="62"/>
      <c r="Y440" s="62"/>
      <c r="Z440" s="62"/>
      <c r="AC440"/>
      <c r="AD440"/>
      <c r="AE440"/>
      <c r="AF440"/>
      <c r="AG440"/>
      <c r="AH440"/>
    </row>
    <row r="441" spans="1:34" hidden="1" x14ac:dyDescent="0.25"/>
    <row r="442" spans="1:34" hidden="1" x14ac:dyDescent="0.25"/>
    <row r="443" spans="1:34" hidden="1" x14ac:dyDescent="0.25">
      <c r="C443" s="2">
        <f>D443+E443+F443</f>
        <v>133816920</v>
      </c>
      <c r="D443" s="2">
        <f>D440+H440+L440</f>
        <v>36434486</v>
      </c>
      <c r="E443" s="2">
        <f t="shared" ref="E443:F443" si="115">E440+I440+M440</f>
        <v>95321373</v>
      </c>
      <c r="F443" s="2">
        <f t="shared" si="115"/>
        <v>2061061</v>
      </c>
      <c r="AC443"/>
      <c r="AD443"/>
      <c r="AE443"/>
      <c r="AF443"/>
      <c r="AG443"/>
      <c r="AH443"/>
    </row>
    <row r="444" spans="1:34" hidden="1" x14ac:dyDescent="0.25"/>
    <row r="445" spans="1:34" hidden="1" x14ac:dyDescent="0.25"/>
    <row r="446" spans="1:34" hidden="1" x14ac:dyDescent="0.25"/>
    <row r="447" spans="1:34" hidden="1" x14ac:dyDescent="0.25"/>
    <row r="448" spans="1:34" hidden="1" x14ac:dyDescent="0.25"/>
    <row r="449" spans="3:34" hidden="1" x14ac:dyDescent="0.25">
      <c r="C449" s="2">
        <v>0</v>
      </c>
      <c r="D449" s="2">
        <v>0</v>
      </c>
      <c r="E449" s="2">
        <v>0</v>
      </c>
      <c r="F449" s="2">
        <v>0</v>
      </c>
      <c r="G449" s="2">
        <v>0</v>
      </c>
      <c r="H449" s="2">
        <v>0</v>
      </c>
      <c r="I449" s="2">
        <v>0</v>
      </c>
      <c r="J449" s="2">
        <v>0</v>
      </c>
      <c r="K449" s="2">
        <v>0</v>
      </c>
      <c r="L449" s="2">
        <v>0</v>
      </c>
      <c r="M449" s="2">
        <v>0</v>
      </c>
      <c r="N449" s="2">
        <v>0</v>
      </c>
      <c r="O449" s="2">
        <v>0</v>
      </c>
      <c r="AC449"/>
      <c r="AD449"/>
      <c r="AE449"/>
      <c r="AF449"/>
      <c r="AG449"/>
      <c r="AH449"/>
    </row>
    <row r="450" spans="3:34" hidden="1" x14ac:dyDescent="0.25"/>
    <row r="451" spans="3:34" hidden="1" x14ac:dyDescent="0.25"/>
    <row r="452" spans="3:34" hidden="1" x14ac:dyDescent="0.25"/>
    <row r="453" spans="3:34" hidden="1" x14ac:dyDescent="0.25"/>
    <row r="454" spans="3:34" hidden="1" x14ac:dyDescent="0.25"/>
    <row r="455" spans="3:34" hidden="1" x14ac:dyDescent="0.25"/>
    <row r="456" spans="3:34" hidden="1" x14ac:dyDescent="0.25"/>
    <row r="457" spans="3:34" hidden="1" x14ac:dyDescent="0.25"/>
    <row r="458" spans="3:34" hidden="1" x14ac:dyDescent="0.25"/>
    <row r="459" spans="3:34" hidden="1" x14ac:dyDescent="0.25"/>
    <row r="460" spans="3:34" hidden="1" x14ac:dyDescent="0.25"/>
    <row r="461" spans="3:34" hidden="1" x14ac:dyDescent="0.25"/>
    <row r="462" spans="3:34" hidden="1" x14ac:dyDescent="0.25"/>
    <row r="463" spans="3:34" hidden="1" x14ac:dyDescent="0.25"/>
    <row r="464" spans="3:34" hidden="1" x14ac:dyDescent="0.25"/>
    <row r="465" spans="2:15" hidden="1" x14ac:dyDescent="0.25"/>
    <row r="466" spans="2:15" hidden="1" x14ac:dyDescent="0.25"/>
    <row r="467" spans="2:15" hidden="1" x14ac:dyDescent="0.25"/>
    <row r="468" spans="2:15" hidden="1" x14ac:dyDescent="0.25"/>
    <row r="469" spans="2:15" hidden="1" x14ac:dyDescent="0.25"/>
    <row r="470" spans="2:15" hidden="1" x14ac:dyDescent="0.25"/>
    <row r="471" spans="2:15" hidden="1" x14ac:dyDescent="0.25"/>
    <row r="472" spans="2:15" hidden="1" x14ac:dyDescent="0.25"/>
    <row r="473" spans="2:15" x14ac:dyDescent="0.25">
      <c r="G473" s="112">
        <f>G432/R432*100</f>
        <v>0.69697476570578087</v>
      </c>
      <c r="K473" s="112">
        <f>K432/R432*100</f>
        <v>99.153018788862497</v>
      </c>
      <c r="O473" s="112">
        <f>O432/R432*100</f>
        <v>0.15000644543172328</v>
      </c>
    </row>
    <row r="474" spans="2:15" x14ac:dyDescent="0.25">
      <c r="B474" s="56"/>
      <c r="C474" s="113">
        <f>C432</f>
        <v>9906241</v>
      </c>
      <c r="D474" s="113">
        <f>D432+H432+L432</f>
        <v>5384753</v>
      </c>
      <c r="E474" s="113">
        <f t="shared" ref="E474:F474" si="116">E432+I432+M432</f>
        <v>4385494</v>
      </c>
      <c r="F474" s="113">
        <f t="shared" si="116"/>
        <v>135994</v>
      </c>
      <c r="G474" s="114"/>
      <c r="H474" s="115"/>
      <c r="I474" s="115"/>
    </row>
    <row r="475" spans="2:15" x14ac:dyDescent="0.25">
      <c r="B475" s="116" t="s">
        <v>107</v>
      </c>
      <c r="C475" s="117">
        <f>D475+E475+F475</f>
        <v>100</v>
      </c>
      <c r="D475" s="117">
        <v>54.36</v>
      </c>
      <c r="E475" s="117">
        <v>44.27</v>
      </c>
      <c r="F475" s="117">
        <v>1.37</v>
      </c>
      <c r="G475" s="114"/>
      <c r="H475" s="115"/>
      <c r="I475" s="115"/>
    </row>
    <row r="476" spans="2:15" x14ac:dyDescent="0.25">
      <c r="B476" s="56"/>
      <c r="C476" s="114"/>
      <c r="D476" s="114"/>
      <c r="E476" s="114"/>
      <c r="F476" s="114"/>
      <c r="G476" s="114"/>
      <c r="H476" s="115"/>
      <c r="I476" s="115"/>
    </row>
    <row r="477" spans="2:15" x14ac:dyDescent="0.25">
      <c r="B477" s="56"/>
      <c r="C477" s="114"/>
      <c r="D477" s="114"/>
      <c r="E477" s="114"/>
      <c r="F477" s="114"/>
      <c r="G477" s="114"/>
      <c r="H477" s="115"/>
      <c r="I477" s="115"/>
    </row>
    <row r="478" spans="2:15" x14ac:dyDescent="0.25">
      <c r="B478" s="114" t="s">
        <v>101</v>
      </c>
      <c r="C478" s="114"/>
      <c r="D478" s="114"/>
      <c r="E478" s="114"/>
      <c r="F478" s="114"/>
      <c r="G478" s="114"/>
      <c r="H478" s="115"/>
      <c r="I478" s="115"/>
    </row>
    <row r="479" spans="2:15" x14ac:dyDescent="0.25">
      <c r="B479" s="114" t="s">
        <v>102</v>
      </c>
      <c r="C479" s="114"/>
      <c r="D479" s="114"/>
      <c r="E479" s="114"/>
      <c r="F479" s="114"/>
      <c r="G479" s="114"/>
      <c r="H479" s="115"/>
      <c r="I479" s="115"/>
    </row>
    <row r="480" spans="2:15" x14ac:dyDescent="0.25">
      <c r="B480" s="56"/>
      <c r="C480" s="114"/>
      <c r="D480" s="56"/>
      <c r="E480" s="56"/>
      <c r="F480" s="56"/>
      <c r="G480" s="114"/>
      <c r="H480" s="115"/>
      <c r="I480" s="115"/>
    </row>
    <row r="481" spans="2:10" x14ac:dyDescent="0.25">
      <c r="B481" s="56"/>
      <c r="C481" s="56"/>
      <c r="D481" s="56" t="s">
        <v>44</v>
      </c>
      <c r="E481" s="56" t="s">
        <v>110</v>
      </c>
      <c r="F481" s="56" t="s">
        <v>109</v>
      </c>
      <c r="G481" s="56" t="s">
        <v>108</v>
      </c>
      <c r="H481" s="115"/>
      <c r="I481" s="115"/>
    </row>
    <row r="482" spans="2:10" x14ac:dyDescent="0.25">
      <c r="B482" s="56" t="s">
        <v>104</v>
      </c>
      <c r="C482" s="118">
        <v>257833</v>
      </c>
      <c r="D482" s="63">
        <v>140158</v>
      </c>
      <c r="E482" s="55">
        <v>977</v>
      </c>
      <c r="F482" s="55">
        <v>138971</v>
      </c>
      <c r="G482" s="55">
        <v>210</v>
      </c>
      <c r="H482" s="119">
        <f>E482+F482+G482</f>
        <v>140158</v>
      </c>
      <c r="I482" s="119">
        <f>H482-D482</f>
        <v>0</v>
      </c>
    </row>
    <row r="483" spans="2:10" x14ac:dyDescent="0.25">
      <c r="B483" s="56" t="s">
        <v>105</v>
      </c>
      <c r="C483" s="118">
        <v>257834</v>
      </c>
      <c r="D483" s="63">
        <v>140159</v>
      </c>
      <c r="E483" s="55">
        <v>977</v>
      </c>
      <c r="F483" s="55">
        <v>138972</v>
      </c>
      <c r="G483" s="55">
        <v>210</v>
      </c>
      <c r="H483" s="119">
        <f t="shared" ref="H483:H485" si="117">E483+F483+G483</f>
        <v>140159</v>
      </c>
      <c r="I483" s="119">
        <f t="shared" ref="I483:I485" si="118">H483-D483</f>
        <v>0</v>
      </c>
    </row>
    <row r="484" spans="2:10" x14ac:dyDescent="0.25">
      <c r="B484" s="56" t="s">
        <v>106</v>
      </c>
      <c r="C484" s="118">
        <v>257834</v>
      </c>
      <c r="D484" s="63">
        <v>140159</v>
      </c>
      <c r="E484" s="55">
        <v>977</v>
      </c>
      <c r="F484" s="55">
        <v>138972</v>
      </c>
      <c r="G484" s="55">
        <v>210</v>
      </c>
      <c r="H484" s="119">
        <f t="shared" si="117"/>
        <v>140159</v>
      </c>
      <c r="I484" s="119">
        <f t="shared" si="118"/>
        <v>0</v>
      </c>
    </row>
    <row r="485" spans="2:10" x14ac:dyDescent="0.25">
      <c r="B485" s="56" t="s">
        <v>103</v>
      </c>
      <c r="C485" s="118">
        <f>SUM(C482:C484)</f>
        <v>773501</v>
      </c>
      <c r="D485" s="63">
        <f>SUM(D482:D484)</f>
        <v>420476</v>
      </c>
      <c r="E485" s="55">
        <f>SUM(E482:E484)</f>
        <v>2931</v>
      </c>
      <c r="F485" s="55">
        <f>SUM(F482:F484)</f>
        <v>416915</v>
      </c>
      <c r="G485" s="55">
        <f>SUM(G482:G484)</f>
        <v>630</v>
      </c>
      <c r="H485" s="119">
        <f t="shared" si="117"/>
        <v>420476</v>
      </c>
      <c r="I485" s="119">
        <f t="shared" si="118"/>
        <v>0</v>
      </c>
    </row>
    <row r="486" spans="2:10" x14ac:dyDescent="0.25">
      <c r="B486" s="56"/>
      <c r="C486" s="118"/>
      <c r="D486" s="118"/>
      <c r="E486" s="118"/>
      <c r="F486" s="115"/>
      <c r="G486" s="56"/>
      <c r="H486" s="118"/>
      <c r="I486" s="118"/>
      <c r="J486" s="111"/>
    </row>
    <row r="487" spans="2:10" x14ac:dyDescent="0.25">
      <c r="B487" s="56"/>
      <c r="C487" s="114"/>
      <c r="D487" s="118" t="s">
        <v>96</v>
      </c>
      <c r="E487" s="114"/>
      <c r="F487" s="56"/>
      <c r="G487" s="56"/>
      <c r="H487" s="118"/>
      <c r="I487" s="118"/>
      <c r="J487" s="111"/>
    </row>
    <row r="488" spans="2:10" x14ac:dyDescent="0.25">
      <c r="B488" s="56" t="s">
        <v>104</v>
      </c>
      <c r="C488" s="114"/>
      <c r="D488" s="63">
        <v>114143</v>
      </c>
      <c r="E488" s="55">
        <v>796</v>
      </c>
      <c r="F488" s="55">
        <v>113176</v>
      </c>
      <c r="G488" s="55">
        <v>171</v>
      </c>
      <c r="H488" s="119">
        <f>E488+F488+G488</f>
        <v>114143</v>
      </c>
      <c r="I488" s="119">
        <f>H488-D488</f>
        <v>0</v>
      </c>
      <c r="J488" s="111"/>
    </row>
    <row r="489" spans="2:10" x14ac:dyDescent="0.25">
      <c r="B489" s="56" t="s">
        <v>105</v>
      </c>
      <c r="C489" s="114"/>
      <c r="D489" s="63">
        <v>114143</v>
      </c>
      <c r="E489" s="55">
        <v>796</v>
      </c>
      <c r="F489" s="55">
        <v>113176</v>
      </c>
      <c r="G489" s="55">
        <v>171</v>
      </c>
      <c r="H489" s="119">
        <f t="shared" ref="H489:H491" si="119">E489+F489+G489</f>
        <v>114143</v>
      </c>
      <c r="I489" s="119">
        <f t="shared" ref="I489:I491" si="120">H489-D489</f>
        <v>0</v>
      </c>
    </row>
    <row r="490" spans="2:10" x14ac:dyDescent="0.25">
      <c r="B490" s="56" t="s">
        <v>106</v>
      </c>
      <c r="C490" s="114"/>
      <c r="D490" s="63">
        <v>114143</v>
      </c>
      <c r="E490" s="55">
        <v>796</v>
      </c>
      <c r="F490" s="55">
        <v>113176</v>
      </c>
      <c r="G490" s="55">
        <v>171</v>
      </c>
      <c r="H490" s="119">
        <f t="shared" si="119"/>
        <v>114143</v>
      </c>
      <c r="I490" s="119">
        <f t="shared" si="120"/>
        <v>0</v>
      </c>
    </row>
    <row r="491" spans="2:10" x14ac:dyDescent="0.25">
      <c r="B491" s="56" t="s">
        <v>103</v>
      </c>
      <c r="C491" s="114"/>
      <c r="D491" s="63">
        <f>SUM(D488:D490)</f>
        <v>342429</v>
      </c>
      <c r="E491" s="63">
        <f t="shared" ref="E491:G491" si="121">SUM(E488:E490)</f>
        <v>2388</v>
      </c>
      <c r="F491" s="63">
        <f t="shared" si="121"/>
        <v>339528</v>
      </c>
      <c r="G491" s="63">
        <f t="shared" si="121"/>
        <v>513</v>
      </c>
      <c r="H491" s="119">
        <f t="shared" si="119"/>
        <v>342429</v>
      </c>
      <c r="I491" s="119">
        <f t="shared" si="120"/>
        <v>0</v>
      </c>
    </row>
    <row r="492" spans="2:10" x14ac:dyDescent="0.25">
      <c r="B492" s="56"/>
      <c r="C492" s="114"/>
      <c r="D492" s="114"/>
      <c r="E492" s="114"/>
      <c r="F492" s="114"/>
      <c r="G492" s="114"/>
      <c r="H492" s="115"/>
      <c r="I492" s="115"/>
    </row>
    <row r="493" spans="2:10" x14ac:dyDescent="0.25">
      <c r="B493" s="56"/>
      <c r="C493" s="114"/>
      <c r="D493" s="118" t="s">
        <v>97</v>
      </c>
      <c r="E493" s="114"/>
      <c r="F493" s="114"/>
      <c r="G493" s="114"/>
      <c r="H493" s="115"/>
      <c r="I493" s="115"/>
    </row>
    <row r="494" spans="2:10" x14ac:dyDescent="0.25">
      <c r="B494" s="56" t="s">
        <v>104</v>
      </c>
      <c r="C494" s="114"/>
      <c r="D494" s="63">
        <v>3532</v>
      </c>
      <c r="E494" s="55">
        <v>25</v>
      </c>
      <c r="F494" s="55">
        <v>3502</v>
      </c>
      <c r="G494" s="55">
        <v>5</v>
      </c>
      <c r="H494" s="119">
        <f>E494+F494+G494</f>
        <v>3532</v>
      </c>
      <c r="I494" s="119">
        <f>H494-D494</f>
        <v>0</v>
      </c>
    </row>
    <row r="495" spans="2:10" x14ac:dyDescent="0.25">
      <c r="B495" s="56" t="s">
        <v>105</v>
      </c>
      <c r="C495" s="114"/>
      <c r="D495" s="63">
        <v>3532</v>
      </c>
      <c r="E495" s="55">
        <v>25</v>
      </c>
      <c r="F495" s="55">
        <v>3502</v>
      </c>
      <c r="G495" s="55">
        <v>5</v>
      </c>
      <c r="H495" s="119">
        <f t="shared" ref="H495:H497" si="122">E495+F495+G495</f>
        <v>3532</v>
      </c>
      <c r="I495" s="119">
        <f t="shared" ref="I495:I497" si="123">H495-D495</f>
        <v>0</v>
      </c>
    </row>
    <row r="496" spans="2:10" x14ac:dyDescent="0.25">
      <c r="B496" s="56" t="s">
        <v>106</v>
      </c>
      <c r="C496" s="114"/>
      <c r="D496" s="63">
        <v>3532</v>
      </c>
      <c r="E496" s="55">
        <v>25</v>
      </c>
      <c r="F496" s="55">
        <v>3502</v>
      </c>
      <c r="G496" s="55">
        <v>5</v>
      </c>
      <c r="H496" s="119">
        <f t="shared" si="122"/>
        <v>3532</v>
      </c>
      <c r="I496" s="119">
        <f t="shared" si="123"/>
        <v>0</v>
      </c>
    </row>
    <row r="497" spans="2:9" x14ac:dyDescent="0.25">
      <c r="B497" s="56" t="s">
        <v>103</v>
      </c>
      <c r="C497" s="114"/>
      <c r="D497" s="63">
        <f>SUM(D494:D496)</f>
        <v>10596</v>
      </c>
      <c r="E497" s="63">
        <f t="shared" ref="E497:G497" si="124">SUM(E494:E496)</f>
        <v>75</v>
      </c>
      <c r="F497" s="63">
        <f t="shared" si="124"/>
        <v>10506</v>
      </c>
      <c r="G497" s="63">
        <f t="shared" si="124"/>
        <v>15</v>
      </c>
      <c r="H497" s="119">
        <f t="shared" si="122"/>
        <v>10596</v>
      </c>
      <c r="I497" s="119">
        <f t="shared" si="123"/>
        <v>0</v>
      </c>
    </row>
    <row r="498" spans="2:9" x14ac:dyDescent="0.25">
      <c r="B498" s="56"/>
      <c r="C498" s="114"/>
      <c r="D498" s="114"/>
      <c r="E498" s="114"/>
      <c r="F498" s="114"/>
      <c r="G498" s="114"/>
      <c r="H498" s="115"/>
      <c r="I498" s="115"/>
    </row>
    <row r="499" spans="2:9" x14ac:dyDescent="0.25">
      <c r="B499" s="56" t="s">
        <v>104</v>
      </c>
      <c r="C499" s="114"/>
      <c r="D499" s="113">
        <f>D482+D488+D494</f>
        <v>257833</v>
      </c>
      <c r="E499" s="113">
        <f t="shared" ref="E499:G499" si="125">E482+E488+E494</f>
        <v>1798</v>
      </c>
      <c r="F499" s="113">
        <f t="shared" si="125"/>
        <v>255649</v>
      </c>
      <c r="G499" s="113">
        <f t="shared" si="125"/>
        <v>386</v>
      </c>
      <c r="H499" s="119">
        <f>E499+F499+G499</f>
        <v>257833</v>
      </c>
      <c r="I499" s="119">
        <f>H499-D499</f>
        <v>0</v>
      </c>
    </row>
    <row r="500" spans="2:9" x14ac:dyDescent="0.25">
      <c r="B500" s="56" t="s">
        <v>105</v>
      </c>
      <c r="C500" s="114"/>
      <c r="D500" s="113">
        <f t="shared" ref="D500:G501" si="126">D483+D489+D495</f>
        <v>257834</v>
      </c>
      <c r="E500" s="113">
        <f t="shared" si="126"/>
        <v>1798</v>
      </c>
      <c r="F500" s="113">
        <f t="shared" si="126"/>
        <v>255650</v>
      </c>
      <c r="G500" s="113">
        <f t="shared" si="126"/>
        <v>386</v>
      </c>
      <c r="H500" s="119">
        <f t="shared" ref="H500:H502" si="127">E500+F500+G500</f>
        <v>257834</v>
      </c>
      <c r="I500" s="119">
        <f t="shared" ref="I500:I502" si="128">H500-D500</f>
        <v>0</v>
      </c>
    </row>
    <row r="501" spans="2:9" x14ac:dyDescent="0.25">
      <c r="B501" s="56" t="s">
        <v>106</v>
      </c>
      <c r="C501" s="114"/>
      <c r="D501" s="113">
        <f t="shared" si="126"/>
        <v>257834</v>
      </c>
      <c r="E501" s="113">
        <f t="shared" si="126"/>
        <v>1798</v>
      </c>
      <c r="F501" s="113">
        <f t="shared" si="126"/>
        <v>255650</v>
      </c>
      <c r="G501" s="113">
        <f t="shared" si="126"/>
        <v>386</v>
      </c>
      <c r="H501" s="119">
        <f t="shared" si="127"/>
        <v>257834</v>
      </c>
      <c r="I501" s="119">
        <f t="shared" si="128"/>
        <v>0</v>
      </c>
    </row>
    <row r="502" spans="2:9" x14ac:dyDescent="0.25">
      <c r="B502" s="56" t="s">
        <v>103</v>
      </c>
      <c r="C502" s="114"/>
      <c r="D502" s="113">
        <f>D485+D491+D497</f>
        <v>773501</v>
      </c>
      <c r="E502" s="113">
        <f t="shared" ref="E502:G502" si="129">E485+E491+E497</f>
        <v>5394</v>
      </c>
      <c r="F502" s="113">
        <f t="shared" si="129"/>
        <v>766949</v>
      </c>
      <c r="G502" s="113">
        <f t="shared" si="129"/>
        <v>1158</v>
      </c>
      <c r="H502" s="119">
        <f t="shared" si="127"/>
        <v>773501</v>
      </c>
      <c r="I502" s="119">
        <f t="shared" si="128"/>
        <v>0</v>
      </c>
    </row>
  </sheetData>
  <mergeCells count="132">
    <mergeCell ref="A28:A30"/>
    <mergeCell ref="B28:B30"/>
    <mergeCell ref="C28:C30"/>
    <mergeCell ref="D28:O28"/>
    <mergeCell ref="D29:G29"/>
    <mergeCell ref="H29:K29"/>
    <mergeCell ref="L29:O29"/>
    <mergeCell ref="A1:O1"/>
    <mergeCell ref="A3:A5"/>
    <mergeCell ref="B3:B5"/>
    <mergeCell ref="C3:C5"/>
    <mergeCell ref="D3:O3"/>
    <mergeCell ref="D4:G4"/>
    <mergeCell ref="H4:K4"/>
    <mergeCell ref="L4:O4"/>
    <mergeCell ref="A76:A78"/>
    <mergeCell ref="B76:B78"/>
    <mergeCell ref="C76:C78"/>
    <mergeCell ref="D76:O76"/>
    <mergeCell ref="D77:G77"/>
    <mergeCell ref="H77:K77"/>
    <mergeCell ref="L77:O77"/>
    <mergeCell ref="A52:A54"/>
    <mergeCell ref="B52:B54"/>
    <mergeCell ref="C52:C54"/>
    <mergeCell ref="D52:O52"/>
    <mergeCell ref="D53:G53"/>
    <mergeCell ref="H53:K53"/>
    <mergeCell ref="L53:O53"/>
    <mergeCell ref="A124:A126"/>
    <mergeCell ref="B124:B126"/>
    <mergeCell ref="C124:C126"/>
    <mergeCell ref="D124:O124"/>
    <mergeCell ref="D125:G125"/>
    <mergeCell ref="H125:K125"/>
    <mergeCell ref="L125:O125"/>
    <mergeCell ref="A100:A102"/>
    <mergeCell ref="B100:B102"/>
    <mergeCell ref="C100:C102"/>
    <mergeCell ref="D100:O100"/>
    <mergeCell ref="D101:G101"/>
    <mergeCell ref="H101:K101"/>
    <mergeCell ref="L101:O101"/>
    <mergeCell ref="A172:A174"/>
    <mergeCell ref="B172:B174"/>
    <mergeCell ref="C172:C174"/>
    <mergeCell ref="D172:O172"/>
    <mergeCell ref="D173:G173"/>
    <mergeCell ref="H173:K173"/>
    <mergeCell ref="L173:O173"/>
    <mergeCell ref="A148:A150"/>
    <mergeCell ref="B148:B150"/>
    <mergeCell ref="C148:C150"/>
    <mergeCell ref="D148:O148"/>
    <mergeCell ref="D149:G149"/>
    <mergeCell ref="H149:K149"/>
    <mergeCell ref="L149:O149"/>
    <mergeCell ref="A220:A222"/>
    <mergeCell ref="B220:B222"/>
    <mergeCell ref="C220:C222"/>
    <mergeCell ref="D220:O220"/>
    <mergeCell ref="D221:G221"/>
    <mergeCell ref="H221:K221"/>
    <mergeCell ref="L221:O221"/>
    <mergeCell ref="A196:A198"/>
    <mergeCell ref="B196:B198"/>
    <mergeCell ref="C196:C198"/>
    <mergeCell ref="D196:O196"/>
    <mergeCell ref="D197:G197"/>
    <mergeCell ref="H197:K197"/>
    <mergeCell ref="L197:O197"/>
    <mergeCell ref="A269:A271"/>
    <mergeCell ref="B269:B271"/>
    <mergeCell ref="C269:C271"/>
    <mergeCell ref="D269:O269"/>
    <mergeCell ref="D270:G270"/>
    <mergeCell ref="H270:K270"/>
    <mergeCell ref="L270:O270"/>
    <mergeCell ref="A244:O244"/>
    <mergeCell ref="A245:A247"/>
    <mergeCell ref="B245:B247"/>
    <mergeCell ref="C245:C247"/>
    <mergeCell ref="D245:O245"/>
    <mergeCell ref="D246:G246"/>
    <mergeCell ref="H246:K246"/>
    <mergeCell ref="L246:O246"/>
    <mergeCell ref="A318:A320"/>
    <mergeCell ref="B318:B320"/>
    <mergeCell ref="C318:C320"/>
    <mergeCell ref="D318:O318"/>
    <mergeCell ref="D319:G319"/>
    <mergeCell ref="H319:K319"/>
    <mergeCell ref="L319:O319"/>
    <mergeCell ref="A293:O293"/>
    <mergeCell ref="A294:A296"/>
    <mergeCell ref="B294:B296"/>
    <mergeCell ref="C294:C296"/>
    <mergeCell ref="D294:O294"/>
    <mergeCell ref="D295:G295"/>
    <mergeCell ref="H295:K295"/>
    <mergeCell ref="L295:O295"/>
    <mergeCell ref="A367:A369"/>
    <mergeCell ref="B367:B369"/>
    <mergeCell ref="C367:C369"/>
    <mergeCell ref="D367:O367"/>
    <mergeCell ref="D368:G368"/>
    <mergeCell ref="H368:K368"/>
    <mergeCell ref="L368:O368"/>
    <mergeCell ref="A342:O342"/>
    <mergeCell ref="A343:A345"/>
    <mergeCell ref="B343:B345"/>
    <mergeCell ref="C343:C345"/>
    <mergeCell ref="D343:O343"/>
    <mergeCell ref="D344:G344"/>
    <mergeCell ref="H344:K344"/>
    <mergeCell ref="L344:O344"/>
    <mergeCell ref="A416:O416"/>
    <mergeCell ref="A418:A420"/>
    <mergeCell ref="B418:B420"/>
    <mergeCell ref="C418:C420"/>
    <mergeCell ref="D418:O418"/>
    <mergeCell ref="D419:G419"/>
    <mergeCell ref="H419:K419"/>
    <mergeCell ref="L419:O419"/>
    <mergeCell ref="A391:O391"/>
    <mergeCell ref="A392:A394"/>
    <mergeCell ref="B392:B394"/>
    <mergeCell ref="C392:C394"/>
    <mergeCell ref="D392:O392"/>
    <mergeCell ref="D393:G393"/>
    <mergeCell ref="H393:K393"/>
    <mergeCell ref="L393:O393"/>
  </mergeCells>
  <pageMargins left="0.70866141732283472" right="0.70866141732283472" top="0.13" bottom="0.16" header="0.31496062992125984" footer="0.31496062992125984"/>
  <pageSetup paperSize="9" scale="3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Расх по ЕАО с 01.01.15</vt:lpstr>
      <vt:lpstr>Расх по МО с 01.07.13</vt:lpstr>
      <vt:lpstr>Расх по ЕАО с 01.07.13</vt:lpstr>
      <vt:lpstr>дополн сумма к расх с 01.07.13</vt:lpstr>
      <vt:lpstr>Октябрьск передвижки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2015-02-12T22:59:08Z</dcterms:modified>
</cp:coreProperties>
</file>